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tong" sheetId="1" r:id="rId1"/>
    <sheet name="truy luong 1210" sheetId="2" r:id="rId2"/>
    <sheet name="truy luong 180" sheetId="3" r:id="rId3"/>
    <sheet name="35%" sheetId="4" r:id="rId4"/>
    <sheet name="35%180" sheetId="5" r:id="rId5"/>
    <sheet name="truy vkhung" sheetId="6" r:id="rId6"/>
    <sheet name="30%" sheetId="7" r:id="rId7"/>
    <sheet name="TN180" sheetId="8" r:id="rId8"/>
    <sheet name="TN1210" sheetId="9" r:id="rId9"/>
  </sheets>
  <definedNames/>
  <calcPr fullCalcOnLoad="1"/>
</workbook>
</file>

<file path=xl/sharedStrings.xml><?xml version="1.0" encoding="utf-8"?>
<sst xmlns="http://schemas.openxmlformats.org/spreadsheetml/2006/main" count="606" uniqueCount="335">
  <si>
    <t>Võ Thị Thu Bắc</t>
  </si>
  <si>
    <t>Đỗ Thị Mỳ</t>
  </si>
  <si>
    <t>Đỗ Tấn Nhạn</t>
  </si>
  <si>
    <t>Hồ Tiên Nam</t>
  </si>
  <si>
    <t>Lê Thanh Minh</t>
  </si>
  <si>
    <t>Bùi Văn Thanh Vũ</t>
  </si>
  <si>
    <t>Vũ Văn Lượng</t>
  </si>
  <si>
    <t>Trịnh Thị Nga</t>
  </si>
  <si>
    <t>Bùi Thị Hồng</t>
  </si>
  <si>
    <t>Lê Thị Hồng</t>
  </si>
  <si>
    <t>Huỳnh Thị Kim Liên</t>
  </si>
  <si>
    <t>Nguyễn Thị Kim Ngân</t>
  </si>
  <si>
    <t>Nguyễn Thị Hương</t>
  </si>
  <si>
    <t>Nguyễn Thanh Diến</t>
  </si>
  <si>
    <t>Nguyễn T Phương Uyên</t>
  </si>
  <si>
    <t>Vũ Văn Quyết</t>
  </si>
  <si>
    <t>TỔNG CỘNG</t>
  </si>
  <si>
    <t>Vũ Đức Tuyến</t>
  </si>
  <si>
    <t>Trần Văn Du</t>
  </si>
  <si>
    <t>Nguyễn Thị Cẩm Giang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</si>
  <si>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</si>
  <si>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</si>
  <si>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</si>
  <si>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</si>
  <si>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</si>
  <si>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</si>
  <si>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</si>
  <si>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</si>
  <si>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</si>
  <si>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</si>
  <si>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</si>
  <si>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</si>
  <si>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</si>
  <si>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</si>
  <si>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</si>
  <si>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</si>
  <si>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</si>
  <si>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</si>
  <si>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</si>
  <si>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</si>
  <si>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</si>
  <si>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</si>
  <si>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</si>
  <si>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</si>
  <si>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</si>
  <si>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</si>
  <si>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</si>
  <si>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</si>
  <si>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</si>
  <si>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</si>
  <si>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</si>
  <si>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</si>
  <si>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</si>
  <si>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</si>
  <si>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</si>
  <si>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</si>
  <si>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</si>
  <si>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</si>
  <si>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</si>
  <si>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</si>
  <si>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</si>
  <si>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</si>
  <si>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</si>
  <si>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</si>
  <si>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</si>
  <si>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</si>
  <si>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</si>
  <si>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</si>
  <si>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</si>
  <si>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PHÒNG GDĐT DẦU TIẾNG</t>
  </si>
  <si>
    <t>BẢNG THANH TOÁN TIỀN LƯƠNG VÀ PHỤ CẤP</t>
  </si>
  <si>
    <t>TRƯỜNG TIỂU HỌC MINH THẠNH</t>
  </si>
  <si>
    <t>MQHNS : 1050524</t>
  </si>
  <si>
    <t>S
T
T</t>
  </si>
  <si>
    <t>HỌ VÀ TÊN</t>
  </si>
  <si>
    <t>Soá taøi khoaûn</t>
  </si>
  <si>
    <t>Thể dục</t>
  </si>
  <si>
    <t>Mức lương 1.390.000 đồng</t>
  </si>
  <si>
    <t>CTP. Khoaùn CTP</t>
  </si>
  <si>
    <t>Ghi chú</t>
  </si>
  <si>
    <t>LƯƠNG</t>
  </si>
  <si>
    <t xml:space="preserve">PCCV </t>
  </si>
  <si>
    <t>PCƯĐ 35%</t>
  </si>
  <si>
    <t>PC khu vực</t>
  </si>
  <si>
    <t>PC trách nhiệm</t>
  </si>
  <si>
    <t>PC Thâm niên</t>
  </si>
  <si>
    <t>PCƯĐ 15%</t>
  </si>
  <si>
    <t>PC thu hút</t>
  </si>
  <si>
    <t>Hỗ trợ XMPC</t>
  </si>
  <si>
    <t>PC thư viện</t>
  </si>
  <si>
    <t>PCƯĐ 30% GV không đứng lớp</t>
  </si>
  <si>
    <t>Bảo vệ, phục vụ</t>
  </si>
  <si>
    <t>NÑ47</t>
  </si>
  <si>
    <t>HỆ SỐ LƯƠNG</t>
  </si>
  <si>
    <t>Số tiền</t>
  </si>
  <si>
    <t>Phụ cấp vượt khung</t>
  </si>
  <si>
    <t>Hệ 
số</t>
  </si>
  <si>
    <t>Tỉ lệ</t>
  </si>
  <si>
    <t>Hệ số</t>
  </si>
  <si>
    <t>A</t>
  </si>
  <si>
    <t>B</t>
  </si>
  <si>
    <t>C</t>
  </si>
  <si>
    <t>D</t>
  </si>
  <si>
    <t>1 CÑP</t>
  </si>
  <si>
    <t>5504205039059</t>
  </si>
  <si>
    <t xml:space="preserve">Trần Vũ Dũng
</t>
  </si>
  <si>
    <t>5504215022190</t>
  </si>
  <si>
    <t xml:space="preserve">Lê Thị Xuân Dung
</t>
  </si>
  <si>
    <t>5504215022018</t>
  </si>
  <si>
    <t xml:space="preserve">Lê Thị Kỷ
</t>
  </si>
  <si>
    <t>5504215022365</t>
  </si>
  <si>
    <t>5504215022161</t>
  </si>
  <si>
    <t xml:space="preserve">Lê Thị Xuân Hồng
</t>
  </si>
  <si>
    <t>5504215022336</t>
  </si>
  <si>
    <t xml:space="preserve">Trương Thị Thuý Thanh
</t>
  </si>
  <si>
    <t>5504215022211</t>
  </si>
  <si>
    <t xml:space="preserve">Cù Thị Thuý Vân
</t>
  </si>
  <si>
    <t>5504215022234</t>
  </si>
  <si>
    <t xml:space="preserve">Bùi Thị Hà
</t>
  </si>
  <si>
    <t>5504215022155</t>
  </si>
  <si>
    <t xml:space="preserve">Thái Thị Thơm
</t>
  </si>
  <si>
    <t>5504215022060</t>
  </si>
  <si>
    <t xml:space="preserve">Nhâm Thị Huyền
</t>
  </si>
  <si>
    <t>5504215022178</t>
  </si>
  <si>
    <t xml:space="preserve">Phan Văn Ngọc Anh
</t>
  </si>
  <si>
    <t>5504215021905</t>
  </si>
  <si>
    <t>5504215022047</t>
  </si>
  <si>
    <t xml:space="preserve">Lê Thị Hà
</t>
  </si>
  <si>
    <t>5504215021970</t>
  </si>
  <si>
    <t xml:space="preserve">Phạm Thị Lần
</t>
  </si>
  <si>
    <t>5504215022184</t>
  </si>
  <si>
    <t xml:space="preserve">Hồ Tiên Nam
</t>
  </si>
  <si>
    <t>5504215022132</t>
  </si>
  <si>
    <t xml:space="preserve">Hoàng Thị Hiền
</t>
  </si>
  <si>
    <t>5504215022126</t>
  </si>
  <si>
    <t xml:space="preserve">Nguyễn Văn Trương
</t>
  </si>
  <si>
    <t>5504215021957</t>
  </si>
  <si>
    <t xml:space="preserve">Đinh Thị Hiền
</t>
  </si>
  <si>
    <t xml:space="preserve">Phan Thị Thu Châu
</t>
  </si>
  <si>
    <t>5504215022030</t>
  </si>
  <si>
    <t xml:space="preserve">Đỗ Thị Thu
</t>
  </si>
  <si>
    <t>5504215022292</t>
  </si>
  <si>
    <t xml:space="preserve">Đinh Thị Đức
</t>
  </si>
  <si>
    <t>5504215022099</t>
  </si>
  <si>
    <t xml:space="preserve">Vũ Thị Xây
</t>
  </si>
  <si>
    <t>5504215022286</t>
  </si>
  <si>
    <t xml:space="preserve">Võ Thị Tình
</t>
  </si>
  <si>
    <t>5504215022024</t>
  </si>
  <si>
    <t xml:space="preserve">Đinh Thị Thắm
</t>
  </si>
  <si>
    <t>5504215021911</t>
  </si>
  <si>
    <t xml:space="preserve">Nguyễn Thanh Diến
</t>
  </si>
  <si>
    <t>5504215022240</t>
  </si>
  <si>
    <t xml:space="preserve">Phạm Thị Tuyết
</t>
  </si>
  <si>
    <t>5504215022001</t>
  </si>
  <si>
    <t xml:space="preserve">Nguyễn Thị Thu Hương
</t>
  </si>
  <si>
    <t>5504215021992</t>
  </si>
  <si>
    <t xml:space="preserve">Nguyễn Thị Thuý Vân
</t>
  </si>
  <si>
    <t>5504215022320</t>
  </si>
  <si>
    <t xml:space="preserve">Nguyễn Công Bằng
</t>
  </si>
  <si>
    <t>5504205104588</t>
  </si>
  <si>
    <t xml:space="preserve">Võ Thị Ngọc Nga
</t>
  </si>
  <si>
    <t>5504215022205</t>
  </si>
  <si>
    <t xml:space="preserve">Vũ Thị Kim Nga
</t>
  </si>
  <si>
    <t>5504215022110</t>
  </si>
  <si>
    <t>5504215022263</t>
  </si>
  <si>
    <t xml:space="preserve">Trần Minh Tuấn
</t>
  </si>
  <si>
    <t>5504215022307</t>
  </si>
  <si>
    <t>5504215022103</t>
  </si>
  <si>
    <t>5504215022053</t>
  </si>
  <si>
    <t>5504205094369</t>
  </si>
  <si>
    <t>5504215022342</t>
  </si>
  <si>
    <t>5504215022359</t>
  </si>
  <si>
    <t>5504215022388</t>
  </si>
  <si>
    <t>5504215022257</t>
  </si>
  <si>
    <t>5504215012230</t>
  </si>
  <si>
    <t>5504205060207</t>
  </si>
  <si>
    <t>Trương T Hồng Thanh</t>
  </si>
  <si>
    <t>5504205021989</t>
  </si>
  <si>
    <t>5504215022149</t>
  </si>
  <si>
    <t>Nguyễn T Cẩm Giang</t>
  </si>
  <si>
    <t>5504215022076</t>
  </si>
  <si>
    <t>5504215021963</t>
  </si>
  <si>
    <t xml:space="preserve">Phan Thị Gái
</t>
  </si>
  <si>
    <t>5504215022371</t>
  </si>
  <si>
    <t>5504205132321</t>
  </si>
  <si>
    <t>Cộng</t>
  </si>
  <si>
    <t>Kế toán</t>
  </si>
  <si>
    <t>Hiệu trưởng</t>
  </si>
  <si>
    <t>THÁNG 9 NĂM 2018</t>
  </si>
  <si>
    <t>PHOØNG GD - ÑT DAÀU TIEÁNG</t>
  </si>
  <si>
    <t>TRÖÔØNG TIEÅU HOÏC MINH THAÏNH</t>
  </si>
  <si>
    <t>MSÑV : 1050524</t>
  </si>
  <si>
    <t>DANH SAÙCH GIAÙO VIEÂN  TRUY LAÕNH NAÂNG BẬC LƯƠNG</t>
  </si>
  <si>
    <t>Töø thaùng   3/2018   ñeán thaùng  8/2018</t>
  </si>
  <si>
    <t>Mức lương :1.210.000</t>
  </si>
  <si>
    <t>STT</t>
  </si>
  <si>
    <t>Hoï vaø teân</t>
  </si>
  <si>
    <t>Maõ
 ngaïch</t>
  </si>
  <si>
    <t>Heä soá löông cuõ</t>
  </si>
  <si>
    <t>Heä soá löông môùi</t>
  </si>
  <si>
    <t>Heä soá cheânh leäch</t>
  </si>
  <si>
    <t>Möùc löông 
1.050.000 ñ</t>
  </si>
  <si>
    <t>Möùc löông 
1.210.000 ñ</t>
  </si>
  <si>
    <t>Caùc khoaûn phaûi tröø</t>
  </si>
  <si>
    <t>Toång tröø</t>
  </si>
  <si>
    <t>Toång 
soá tieàn thöïïc nhaän</t>
  </si>
  <si>
    <t>Kyù 
nhaän</t>
  </si>
  <si>
    <t>Ghi chuù</t>
  </si>
  <si>
    <t>Soá thaùng truy laõnh</t>
  </si>
  <si>
    <t>Soá tieàn laõnh</t>
  </si>
  <si>
    <t xml:space="preserve">Tröø 8% BHXH
</t>
  </si>
  <si>
    <t xml:space="preserve">Tröø 1,5% BHYT
</t>
  </si>
  <si>
    <t xml:space="preserve">Tröø 1% BHTN
</t>
  </si>
  <si>
    <t>Nguyeãn Thanh Dieán</t>
  </si>
  <si>
    <t>V.07.03.09</t>
  </si>
  <si>
    <t>T3/18-&gt;8/18</t>
  </si>
  <si>
    <t>TOÅNG COÄNG</t>
  </si>
  <si>
    <r>
      <t xml:space="preserve">Toång soá tieàn baèng chöõ </t>
    </r>
    <r>
      <rPr>
        <b/>
        <sz val="12"/>
        <rFont val="Vni-times"/>
        <family val="0"/>
      </rPr>
      <t xml:space="preserve">:  MoäÄt trieäu hai traêm chín möôi chín ngaøn naêm traêm boán möôi ñoàng ./.  </t>
    </r>
  </si>
  <si>
    <t>Ngaøy     thaùng       naêm 2018</t>
  </si>
  <si>
    <t>Keá toaùn</t>
  </si>
  <si>
    <t xml:space="preserve">     HIEÄU TRÖÔÛNG</t>
  </si>
  <si>
    <t>Nguyeãn Thò Caåm Giang</t>
  </si>
  <si>
    <t>Ñoã Taán Nhaïn</t>
  </si>
  <si>
    <t>Töø thaùng        3/2018   ñeán thaùng  8/2018</t>
  </si>
  <si>
    <t>Mức lương : 180.000</t>
  </si>
  <si>
    <t>Möùc löông 
90.000 ñ</t>
  </si>
  <si>
    <t>Möùc löông 
180.000 ñ</t>
  </si>
  <si>
    <r>
      <t xml:space="preserve">Toång soá tieàn baèng chöõ </t>
    </r>
    <r>
      <rPr>
        <b/>
        <sz val="12"/>
        <rFont val="Vni-times"/>
        <family val="0"/>
      </rPr>
      <t xml:space="preserve">:  Moät traêm hai möôi taùm ngaøn taùm traêm taùm möôi ñoàng ./.  </t>
    </r>
  </si>
  <si>
    <t xml:space="preserve">         Ngaøy     thaùng       naêm 2018</t>
  </si>
  <si>
    <t>DANH SAÙCH GV TRUY LÓNH PCÖÑ DO  GIAÙO VIEÂN NAÂNG BAÄC LÖÔNG</t>
  </si>
  <si>
    <t>Heä soá
 löông cuõ</t>
  </si>
  <si>
    <t>Heä soá 
löông môùi</t>
  </si>
  <si>
    <t>Heä soá 
cheânh leäch</t>
  </si>
  <si>
    <t>Möùc höôûng</t>
  </si>
  <si>
    <t>Kyù nhaän</t>
  </si>
  <si>
    <t>Heä soá</t>
  </si>
  <si>
    <t xml:space="preserve">Soá 
thaùng </t>
  </si>
  <si>
    <t xml:space="preserve">Toång
 coäng </t>
  </si>
  <si>
    <r>
      <t xml:space="preserve">Toång soá tieàn baèng chöõ </t>
    </r>
    <r>
      <rPr>
        <b/>
        <sz val="11"/>
        <rFont val="VNI-Times"/>
        <family val="0"/>
      </rPr>
      <t>:  Naêm traêm leû taùm ngaøn hai traêm ñoàng ./.</t>
    </r>
  </si>
  <si>
    <r>
      <t xml:space="preserve">Toång soá tieàn baèng chöõ </t>
    </r>
    <r>
      <rPr>
        <b/>
        <sz val="11"/>
        <rFont val="VNI-Times"/>
        <family val="0"/>
      </rPr>
      <t>: Naêm möôi ngaøn boán traêm ñoàng ./.</t>
    </r>
  </si>
  <si>
    <t xml:space="preserve">PHÒNG GD - ĐT HUYỆN DẦU TIẾNG </t>
  </si>
  <si>
    <t>DANH SÁCH GIAÓ VIÊN TRUY VƯỢT KHUNG TỪ T03/2018-&gt; T08/2018</t>
  </si>
  <si>
    <t>SốTT</t>
  </si>
  <si>
    <t>Họ Và Tên</t>
  </si>
  <si>
    <t>Chức vụ</t>
  </si>
  <si>
    <t xml:space="preserve">Mã ngạch </t>
  </si>
  <si>
    <t>HS lương</t>
  </si>
  <si>
    <t>HS PCVK cũ 8%</t>
  </si>
  <si>
    <t>HS PCVK mới 9%</t>
  </si>
  <si>
    <t>HS chênh lệch</t>
  </si>
  <si>
    <t>Số tháng truy lĩnh x  1.210.000 đ</t>
  </si>
  <si>
    <t>Tổng số tiền truy lĩnh</t>
  </si>
  <si>
    <t xml:space="preserve">Nộp 8% BHXH </t>
  </si>
  <si>
    <t>Nộp1.5 % BHYT</t>
  </si>
  <si>
    <t>Nộp 1 % BHTN</t>
  </si>
  <si>
    <t>Tổng trừ</t>
  </si>
  <si>
    <t>Thực nhận</t>
  </si>
  <si>
    <t>Ký nhận</t>
  </si>
  <si>
    <t>Số tháng</t>
  </si>
  <si>
    <t>GV</t>
  </si>
  <si>
    <t xml:space="preserve">Tổng cộng </t>
  </si>
  <si>
    <r>
      <t>Số tiền bằng chữ   :</t>
    </r>
    <r>
      <rPr>
        <b/>
        <i/>
        <sz val="13"/>
        <color indexed="8"/>
        <rFont val="Times New Roman"/>
        <family val="1"/>
      </rPr>
      <t xml:space="preserve"> Hai trăm sáu mươi ba ngàn tám trăm lẻ bảy đồng.</t>
    </r>
  </si>
  <si>
    <t>Minh Thạnh, ngày       tháng       năm 2018</t>
  </si>
  <si>
    <t>DANH SÁCH GV- CNV TRUY VƯỢT KHUNG TỪ T11/2017-&gt; T12/2017</t>
  </si>
  <si>
    <t xml:space="preserve">TRƯỜNG TIỂU HỌC MINH HÒA </t>
  </si>
  <si>
    <t>HS PCVK cũ 9%</t>
  </si>
  <si>
    <t>HS PCVK mới 10%</t>
  </si>
  <si>
    <t>HS lương chênh lệch</t>
  </si>
  <si>
    <t>Số tháng truy lĩnh x  90.000 đ</t>
  </si>
  <si>
    <t>I</t>
  </si>
  <si>
    <t>VIÊN CHỨC</t>
  </si>
  <si>
    <t>Lưu Hồng Lĩnh</t>
  </si>
  <si>
    <t>PCGD</t>
  </si>
  <si>
    <t>Từ T11/2017 -&gt; 12/2017</t>
  </si>
  <si>
    <t>Nguyễn Thị Thủy</t>
  </si>
  <si>
    <t>T12/2017</t>
  </si>
  <si>
    <r>
      <t>Số tiền bằng chữ   :</t>
    </r>
    <r>
      <rPr>
        <b/>
        <i/>
        <sz val="13"/>
        <color indexed="8"/>
        <rFont val="Times New Roman"/>
        <family val="1"/>
      </rPr>
      <t xml:space="preserve"> ( Chín ngàn tám trăm mười  đồng )</t>
    </r>
  </si>
  <si>
    <t>Minh Hòa, ngày       tháng       năm 2017</t>
  </si>
  <si>
    <t>Trần Thị Cẩm Hồng</t>
  </si>
  <si>
    <t>Tạ Kim Tiết Lễ</t>
  </si>
  <si>
    <t xml:space="preserve">DANH SÁCH TRUY HỖ TRỢ GIÁO VIÊN DO NÂNG BẬC LƯƠNG </t>
  </si>
  <si>
    <t>TỪ T03/2018-&gt; T08/2018</t>
  </si>
  <si>
    <t>(THEO QUYẾT ĐỊNH 26/2011/QĐ-UBND)</t>
  </si>
  <si>
    <t>Mã ngạch</t>
  </si>
  <si>
    <t>Số % hưởng</t>
  </si>
  <si>
    <t>Tỷ lệ % hưởng</t>
  </si>
  <si>
    <t>Möùc löông 
1.300.000 ñ</t>
  </si>
  <si>
    <t>Möùc löông 
1.390.000 ñ</t>
  </si>
  <si>
    <r>
      <t>Số tiền bằng chữ :</t>
    </r>
    <r>
      <rPr>
        <b/>
        <i/>
        <sz val="13"/>
        <color indexed="8"/>
        <rFont val="Times New Roman"/>
        <family val="1"/>
      </rPr>
      <t xml:space="preserve"> ( Ba trăm mười sáu ngàn sáu trăm tám mươi đồng )</t>
    </r>
  </si>
  <si>
    <t>Minh Thạnh, ngày          tháng           năm 2018</t>
  </si>
  <si>
    <t xml:space="preserve">                       Đỗ Tấn Nhạn</t>
  </si>
  <si>
    <t>DANH SÁCH  TRUY  PHỤ CẤP THÂM NIÊN TỪ T 03/2018-&gt; T08/2018</t>
  </si>
  <si>
    <t>Số
 TT</t>
  </si>
  <si>
    <t>Họ và Tên</t>
  </si>
  <si>
    <t>Lương cũ</t>
  </si>
  <si>
    <t>Lương mới</t>
  </si>
  <si>
    <t>Tổng hệ số chênh lệch</t>
  </si>
  <si>
    <t>Số % phụ cấp thâm niên được hưởng</t>
  </si>
  <si>
    <t>Mức lương 
90.000 đ</t>
  </si>
  <si>
    <t>Mức lương 
180.000 đ</t>
  </si>
  <si>
    <t xml:space="preserve">Tổng tiền phụ cấp thâm niên </t>
  </si>
  <si>
    <t xml:space="preserve">Các khoản trích nộp  theo quy định </t>
  </si>
  <si>
    <t>Thực lãnh phụ cấp thâm niên</t>
  </si>
  <si>
    <t>Tổng hệ số cũ</t>
  </si>
  <si>
    <t>Cụ thể</t>
  </si>
  <si>
    <t>Tổng hệ số mới</t>
  </si>
  <si>
    <t>Hệ số lương theo ngạch, bậc</t>
  </si>
  <si>
    <t>Hệ số PCCV</t>
  </si>
  <si>
    <t>Phụ cấp thâm niên vượt khung quy theo hệ số 8%</t>
  </si>
  <si>
    <t>Phụ cấp thâm niên vượt khung quy theo hệ số 9%</t>
  </si>
  <si>
    <t>26%</t>
  </si>
  <si>
    <t>19%</t>
  </si>
  <si>
    <t>Tổng cộng</t>
  </si>
  <si>
    <t>Số tiền bằng chữ : Ba mươi mốt ngàn hai trăm tám mươi chín đồng.</t>
  </si>
  <si>
    <t>Minh Thạnh, ngày         tháng           năm 2018</t>
  </si>
  <si>
    <t xml:space="preserve">Kế toán </t>
  </si>
  <si>
    <t xml:space="preserve">                    Đỗ Tấn Nhạn</t>
  </si>
  <si>
    <t>DANH SÁCH  TRUY  PHỤ CẤP THÂM NIÊN TỪ T 11/2017-&gt; T12/2017</t>
  </si>
  <si>
    <t>Trích nộp Bảo hiểm</t>
  </si>
  <si>
    <t xml:space="preserve">Các khoản trích nộp 01 tháng theo quy định </t>
  </si>
  <si>
    <t>Hệ số phụ cấp chức vụ</t>
  </si>
  <si>
    <t>Phụ cấp thâm niên vượt khung quy theo hệ số</t>
  </si>
  <si>
    <t>Phạm Thị Hải</t>
  </si>
  <si>
    <t>V.07.03.08</t>
  </si>
  <si>
    <t xml:space="preserve">Từ T12/2017 </t>
  </si>
  <si>
    <t>Nguyễn Thị Liên</t>
  </si>
  <si>
    <t>V.07.03.07</t>
  </si>
  <si>
    <t>Số tiền bằng chữ : Mười sáu ngàn một trăm sáu mươi mốt đồng</t>
  </si>
  <si>
    <t>Tổng số tháng</t>
  </si>
  <si>
    <t xml:space="preserve">Mức lương tối thiểu chung </t>
  </si>
  <si>
    <t xml:space="preserve">Mức tiền phụ cấp thâm niên </t>
  </si>
  <si>
    <t xml:space="preserve">Các khoản trích nộp theo quy định </t>
  </si>
  <si>
    <t>Số tiền bằng chữ : Ba trăm mười lăm ngàn năm trăm lẻ hai đồng.</t>
  </si>
  <si>
    <t>Mức tiền phụ cấp thâm niên 01 tháng</t>
  </si>
  <si>
    <t>Minh Thạnh, ngày            tháng 9 năm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</si>
</sst>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M&quot;#,##0_);\(&quot;RM&quot;#,##0\)"/>
    <numFmt numFmtId="181" formatCode="&quot;RM&quot;#,##0_);[Red]\(&quot;RM&quot;#,##0\)"/>
    <numFmt numFmtId="182" formatCode="&quot;RM&quot;#,##0.00_);\(&quot;RM&quot;#,##0.00\)"/>
    <numFmt numFmtId="183" formatCode="&quot;RM&quot;#,##0.00_);[Red]\(&quot;RM&quot;#,##0.00\)"/>
    <numFmt numFmtId="184" formatCode="_(&quot;RM&quot;* #,##0_);_(&quot;RM&quot;* \(#,##0\);_(&quot;RM&quot;* &quot;-&quot;_);_(@_)"/>
    <numFmt numFmtId="185" formatCode="_(&quot;RM&quot;* #,##0.00_);_(&quot;RM&quot;* \(#,##0.00\);_(&quot;RM&quot;* &quot;-&quot;??_);_(@_)"/>
    <numFmt numFmtId="186" formatCode="&quot;R&quot;#,##0_);\(&quot;R&quot;#,##0\)"/>
    <numFmt numFmtId="187" formatCode="&quot;R&quot;#,##0_);[Red]\(&quot;R&quot;#,##0\)"/>
    <numFmt numFmtId="188" formatCode="&quot;R&quot;#,##0.00_);\(&quot;R&quot;#,##0.00\)"/>
    <numFmt numFmtId="189" formatCode="&quot;R&quot;#,##0.00_);[Red]\(&quot;R&quot;#,##0.00\)"/>
    <numFmt numFmtId="190" formatCode="_(&quot;R&quot;* #,##0_);_(&quot;R&quot;* \(#,##0\);_(&quot;R&quot;* &quot;-&quot;_);_(@_)"/>
    <numFmt numFmtId="191" formatCode="_(&quot;R&quot;* #,##0.00_);_(&quot;R&quot;* \(#,##0.00\);_(&quot;R&quot;* &quot;-&quot;??_);_(@_)"/>
    <numFmt numFmtId="192" formatCode="#,##0\ &quot;₫&quot;;\-#,##0\ &quot;₫&quot;"/>
    <numFmt numFmtId="193" formatCode="#,##0\ &quot;₫&quot;;[Red]\-#,##0\ &quot;₫&quot;"/>
    <numFmt numFmtId="194" formatCode="#,##0.00\ &quot;₫&quot;;\-#,##0.00\ &quot;₫&quot;"/>
    <numFmt numFmtId="195" formatCode="#,##0.00\ &quot;₫&quot;;[Red]\-#,##0.00\ &quot;₫&quot;"/>
    <numFmt numFmtId="196" formatCode="_-* #,##0\ &quot;₫&quot;_-;\-* #,##0\ &quot;₫&quot;_-;_-* &quot;-&quot;\ &quot;₫&quot;_-;_-@_-"/>
    <numFmt numFmtId="197" formatCode="_-* #,##0\ _₫_-;\-* #,##0\ _₫_-;_-* &quot;-&quot;\ _₫_-;_-@_-"/>
    <numFmt numFmtId="198" formatCode="_-* #,##0.00\ &quot;₫&quot;_-;\-* #,##0.00\ &quot;₫&quot;_-;_-* &quot;-&quot;??\ &quot;₫&quot;_-;_-@_-"/>
    <numFmt numFmtId="199" formatCode="_-* #,##0.00\ _₫_-;\-* #,##0.00\ _₫_-;_-* &quot;-&quot;??\ _₫_-;_-@_-"/>
    <numFmt numFmtId="200" formatCode="#.##0"/>
    <numFmt numFmtId="201" formatCode="mmm\-yyyy"/>
    <numFmt numFmtId="202" formatCode="0.000000E+00"/>
    <numFmt numFmtId="203" formatCode="0.0000000E+00"/>
    <numFmt numFmtId="204" formatCode="0.00000000E+00"/>
    <numFmt numFmtId="205" formatCode="[$-409]dddd\,\ mmmm\ dd\,\ yyyy"/>
    <numFmt numFmtId="206" formatCode="[$-1C09]dd\ mmmm\ yyyy"/>
    <numFmt numFmtId="207" formatCode="[$-409]dddd\,\ mmmm\ d\,\ yyyy"/>
    <numFmt numFmtId="208" formatCode="_-* #,##0_-;\-* #,##0_-;_-* &quot;-&quot;??_-;_-@_-"/>
    <numFmt numFmtId="209" formatCode="_(* #,##0.0_);_(* \(#,##0.0\);_(* &quot;-&quot;??_);_(@_)"/>
    <numFmt numFmtId="210" formatCode="_(* #,##0_);_(* \(#,##0\);_(* &quot;-&quot;??_);_(@_)"/>
    <numFmt numFmtId="211" formatCode="#,##0.0"/>
    <numFmt numFmtId="212" formatCode="_(* #,##0.00_);_(* \(#,##0.00\);_(* &quot;-&quot;_);_(@_)"/>
    <numFmt numFmtId="213" formatCode="_(* #,##0.000_);_(* \(#,##0.000\);_(* &quot;-&quot;_);_(@_)"/>
    <numFmt numFmtId="214" formatCode="_(* #,##0.0000_);_(* \(#,##0.0000\);_(* &quot;-&quot;_);_(@_)"/>
    <numFmt numFmtId="215" formatCode="_(* #,##0.000000_);_(* \(#,##0.000000\);_(* &quot;-&quot;_);_(@_)"/>
    <numFmt numFmtId="216" formatCode="#,##0.0000"/>
    <numFmt numFmtId="217" formatCode="_-* #,##0.000\ _€_-;\-* #,##0.000\ _€_-;_-* &quot;-&quot;??\ _€_-;_-@_-"/>
    <numFmt numFmtId="218" formatCode="_-* #,##0\ _€_-;\-* #,##0\ _€_-;_-* &quot;-&quot;??\ _€_-;_-@_-"/>
    <numFmt numFmtId="219" formatCode="_ * #,##0_ ;_ * \-#,##0_ ;_ * &quot;-&quot;??_ ;_ @_ "/>
    <numFmt numFmtId="220" formatCode="_-* #,##0.00\ _€_-;\-* #,##0.00\ _€_-;_-* &quot;-&quot;??\ _€_-;_-@_-"/>
    <numFmt numFmtId="221" formatCode="_ * #,##0.0000_ ;_ * \-#,##0.0000_ ;_ * &quot;-&quot;??_ ;_ @_ "/>
    <numFmt numFmtId="222" formatCode="0.0000"/>
    <numFmt numFmtId="223" formatCode="0.000"/>
    <numFmt numFmtId="224" formatCode="0.00000"/>
    <numFmt numFmtId="225" formatCode="#,##0.000"/>
    <numFmt numFmtId="226" formatCode="#,##0.00000"/>
    <numFmt numFmtId="227" formatCode="#.##0."/>
  </numFmts>
  <fonts count="99">
    <font>
      <sz val="12"/>
      <name val="Times New Roman"/>
      <family val="0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Times New Roman"/>
      <family val="2"/>
    </font>
    <font>
      <sz val="13"/>
      <name val="Arial"/>
      <family val="2"/>
    </font>
    <font>
      <sz val="12"/>
      <color indexed="10"/>
      <name val="Times New Roman"/>
      <family val="1"/>
    </font>
    <font>
      <sz val="12"/>
      <name val="Vni-times"/>
      <family val="0"/>
    </font>
    <font>
      <sz val="12"/>
      <color indexed="10"/>
      <name val="VNI-Times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VNI-Times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Vni-times"/>
      <family val="0"/>
    </font>
    <font>
      <b/>
      <sz val="13"/>
      <name val="VNI-Times"/>
      <family val="0"/>
    </font>
    <font>
      <b/>
      <sz val="10"/>
      <name val="VNI-Times"/>
      <family val="0"/>
    </font>
    <font>
      <sz val="10"/>
      <name val="VNI-Times"/>
      <family val="0"/>
    </font>
    <font>
      <b/>
      <u val="single"/>
      <sz val="12"/>
      <name val="VNI-Times"/>
      <family val="0"/>
    </font>
    <font>
      <u val="single"/>
      <sz val="12"/>
      <name val="VNI-Times"/>
      <family val="0"/>
    </font>
    <font>
      <sz val="8"/>
      <name val="VNI-Times"/>
      <family val="0"/>
    </font>
    <font>
      <b/>
      <sz val="14"/>
      <name val="VNI-Times"/>
      <family val="0"/>
    </font>
    <font>
      <b/>
      <u val="single"/>
      <sz val="11"/>
      <name val="VNI-Times"/>
      <family val="0"/>
    </font>
    <font>
      <b/>
      <sz val="11"/>
      <name val="VNI-Times"/>
      <family val="0"/>
    </font>
    <font>
      <b/>
      <i/>
      <u val="single"/>
      <sz val="12"/>
      <name val="VNI-Times"/>
      <family val="0"/>
    </font>
    <font>
      <sz val="13"/>
      <color indexed="8"/>
      <name val="Times New Roman"/>
      <family val="1"/>
    </font>
    <font>
      <b/>
      <sz val="13"/>
      <color indexed="8"/>
      <name val="VNI-Times"/>
      <family val="0"/>
    </font>
    <font>
      <b/>
      <sz val="15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3"/>
      <color indexed="8"/>
      <name val="Times New Roman"/>
      <family val="1"/>
    </font>
    <font>
      <sz val="13"/>
      <color indexed="8"/>
      <name val="VNI-Times"/>
      <family val="0"/>
    </font>
    <font>
      <b/>
      <i/>
      <sz val="13"/>
      <color indexed="8"/>
      <name val="VNI-Times"/>
      <family val="0"/>
    </font>
    <font>
      <b/>
      <i/>
      <sz val="12"/>
      <color indexed="8"/>
      <name val="VNI-Times"/>
      <family val="0"/>
    </font>
    <font>
      <b/>
      <i/>
      <u val="single"/>
      <sz val="13"/>
      <color indexed="8"/>
      <name val="Times New Roman"/>
      <family val="1"/>
    </font>
    <font>
      <b/>
      <i/>
      <u val="single"/>
      <sz val="13"/>
      <color indexed="8"/>
      <name val="VNI-Times"/>
      <family val="0"/>
    </font>
    <font>
      <u val="single"/>
      <sz val="13"/>
      <color indexed="8"/>
      <name val="VNI-Times"/>
      <family val="0"/>
    </font>
    <font>
      <b/>
      <i/>
      <u val="single"/>
      <sz val="12"/>
      <color indexed="8"/>
      <name val="VNI-Times"/>
      <family val="0"/>
    </font>
    <font>
      <sz val="12"/>
      <color indexed="8"/>
      <name val="VNI-Times"/>
      <family val="0"/>
    </font>
    <font>
      <sz val="10"/>
      <color indexed="8"/>
      <name val="Arial"/>
      <family val="2"/>
    </font>
    <font>
      <i/>
      <sz val="13"/>
      <color indexed="8"/>
      <name val="VNI-Times"/>
      <family val="0"/>
    </font>
    <font>
      <i/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VNI-Times"/>
      <family val="0"/>
    </font>
    <font>
      <sz val="16"/>
      <color indexed="8"/>
      <name val="VNI-Ariston"/>
      <family val="0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8"/>
      <color indexed="10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VNI-Times"/>
      <family val="0"/>
    </font>
    <font>
      <b/>
      <sz val="13"/>
      <name val="Times New Roman"/>
      <family val="1"/>
    </font>
    <font>
      <i/>
      <sz val="12"/>
      <color indexed="8"/>
      <name val="VNI-Times"/>
      <family val="0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4"/>
      <name val="VNI-Times"/>
      <family val="0"/>
    </font>
    <font>
      <b/>
      <i/>
      <sz val="12"/>
      <name val="Times New Roman"/>
      <family val="1"/>
    </font>
    <font>
      <i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60" fillId="3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6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65" fillId="7" borderId="1" applyNumberFormat="0" applyAlignment="0" applyProtection="0"/>
    <xf numFmtId="0" fontId="66" fillId="0" borderId="6" applyNumberFormat="0" applyFill="0" applyAlignment="0" applyProtection="0"/>
    <xf numFmtId="0" fontId="67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6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24" borderId="0" xfId="0" applyFont="1" applyFill="1" applyAlignment="1">
      <alignment/>
    </xf>
    <xf numFmtId="0" fontId="18" fillId="24" borderId="0" xfId="0" applyFont="1" applyFill="1" applyAlignment="1">
      <alignment/>
    </xf>
    <xf numFmtId="209" fontId="72" fillId="24" borderId="0" xfId="44" applyNumberFormat="1" applyFont="1" applyFill="1" applyBorder="1" applyAlignment="1">
      <alignment/>
    </xf>
    <xf numFmtId="209" fontId="71" fillId="24" borderId="0" xfId="44" applyNumberFormat="1" applyFont="1" applyFill="1" applyAlignment="1">
      <alignment/>
    </xf>
    <xf numFmtId="209" fontId="73" fillId="24" borderId="0" xfId="44" applyNumberFormat="1" applyFont="1" applyFill="1" applyBorder="1" applyAlignment="1">
      <alignment/>
    </xf>
    <xf numFmtId="209" fontId="19" fillId="24" borderId="0" xfId="44" applyNumberFormat="1" applyFont="1" applyFill="1" applyAlignment="1">
      <alignment/>
    </xf>
    <xf numFmtId="0" fontId="7" fillId="24" borderId="0" xfId="0" applyFont="1" applyFill="1" applyAlignment="1">
      <alignment/>
    </xf>
    <xf numFmtId="0" fontId="20" fillId="24" borderId="0" xfId="0" applyFont="1" applyFill="1" applyAlignment="1">
      <alignment/>
    </xf>
    <xf numFmtId="209" fontId="74" fillId="24" borderId="0" xfId="44" applyNumberFormat="1" applyFont="1" applyFill="1" applyBorder="1" applyAlignment="1">
      <alignment/>
    </xf>
    <xf numFmtId="209" fontId="75" fillId="24" borderId="0" xfId="44" applyNumberFormat="1" applyFont="1" applyFill="1" applyBorder="1" applyAlignment="1">
      <alignment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78" fillId="24" borderId="0" xfId="0" applyFont="1" applyFill="1" applyBorder="1" applyAlignment="1">
      <alignment/>
    </xf>
    <xf numFmtId="0" fontId="77" fillId="24" borderId="10" xfId="0" applyFont="1" applyFill="1" applyBorder="1" applyAlignment="1">
      <alignment horizontal="center" vertical="center" wrapText="1"/>
    </xf>
    <xf numFmtId="0" fontId="80" fillId="24" borderId="0" xfId="0" applyFont="1" applyFill="1" applyBorder="1" applyAlignment="1">
      <alignment/>
    </xf>
    <xf numFmtId="0" fontId="76" fillId="24" borderId="10" xfId="0" applyFont="1" applyFill="1" applyBorder="1" applyAlignment="1">
      <alignment horizontal="center" vertical="center" wrapText="1"/>
    </xf>
    <xf numFmtId="0" fontId="77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vertical="center"/>
    </xf>
    <xf numFmtId="0" fontId="79" fillId="24" borderId="10" xfId="0" applyFont="1" applyFill="1" applyBorder="1" applyAlignment="1">
      <alignment horizontal="center" vertical="center" wrapText="1"/>
    </xf>
    <xf numFmtId="210" fontId="10" fillId="24" borderId="10" xfId="44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 quotePrefix="1">
      <alignment horizontal="center"/>
    </xf>
    <xf numFmtId="44" fontId="20" fillId="24" borderId="10" xfId="0" applyNumberFormat="1" applyFont="1" applyFill="1" applyBorder="1" applyAlignment="1">
      <alignment horizontal="left" vertical="top"/>
    </xf>
    <xf numFmtId="0" fontId="21" fillId="24" borderId="10" xfId="58" applyFont="1" applyFill="1" applyBorder="1">
      <alignment/>
      <protection/>
    </xf>
    <xf numFmtId="2" fontId="20" fillId="24" borderId="10" xfId="0" applyNumberFormat="1" applyFont="1" applyFill="1" applyBorder="1" applyAlignment="1">
      <alignment/>
    </xf>
    <xf numFmtId="41" fontId="21" fillId="24" borderId="10" xfId="0" applyNumberFormat="1" applyFont="1" applyFill="1" applyBorder="1" applyAlignment="1">
      <alignment horizontal="center"/>
    </xf>
    <xf numFmtId="4" fontId="20" fillId="24" borderId="10" xfId="0" applyNumberFormat="1" applyFont="1" applyFill="1" applyBorder="1" applyAlignment="1">
      <alignment horizontal="right"/>
    </xf>
    <xf numFmtId="9" fontId="20" fillId="24" borderId="10" xfId="0" applyNumberFormat="1" applyFont="1" applyFill="1" applyBorder="1" applyAlignment="1">
      <alignment/>
    </xf>
    <xf numFmtId="0" fontId="21" fillId="24" borderId="10" xfId="60" applyNumberFormat="1" applyFont="1" applyFill="1" applyBorder="1">
      <alignment/>
      <protection/>
    </xf>
    <xf numFmtId="41" fontId="81" fillId="24" borderId="10" xfId="0" applyNumberFormat="1" applyFont="1" applyFill="1" applyBorder="1" applyAlignment="1">
      <alignment horizontal="center"/>
    </xf>
    <xf numFmtId="41" fontId="21" fillId="24" borderId="10" xfId="0" applyNumberFormat="1" applyFont="1" applyFill="1" applyBorder="1" applyAlignment="1">
      <alignment/>
    </xf>
    <xf numFmtId="43" fontId="21" fillId="24" borderId="10" xfId="0" applyNumberFormat="1" applyFont="1" applyFill="1" applyBorder="1" applyAlignment="1">
      <alignment horizontal="center"/>
    </xf>
    <xf numFmtId="41" fontId="82" fillId="24" borderId="0" xfId="0" applyNumberFormat="1" applyFont="1" applyFill="1" applyBorder="1" applyAlignment="1">
      <alignment horizontal="center"/>
    </xf>
    <xf numFmtId="41" fontId="21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44" fontId="20" fillId="24" borderId="10" xfId="0" applyNumberFormat="1" applyFont="1" applyFill="1" applyBorder="1" applyAlignment="1">
      <alignment horizontal="left" vertical="top" wrapText="1"/>
    </xf>
    <xf numFmtId="0" fontId="20" fillId="24" borderId="10" xfId="0" applyNumberFormat="1" applyFont="1" applyFill="1" applyBorder="1" applyAlignment="1">
      <alignment vertical="center"/>
    </xf>
    <xf numFmtId="0" fontId="21" fillId="24" borderId="10" xfId="0" applyNumberFormat="1" applyFont="1" applyFill="1" applyBorder="1" applyAlignment="1">
      <alignment horizontal="center" vertical="center"/>
    </xf>
    <xf numFmtId="4" fontId="20" fillId="24" borderId="10" xfId="0" applyNumberFormat="1" applyFont="1" applyFill="1" applyBorder="1" applyAlignment="1">
      <alignment horizontal="right" vertical="center"/>
    </xf>
    <xf numFmtId="0" fontId="22" fillId="24" borderId="10" xfId="0" applyNumberFormat="1" applyFont="1" applyFill="1" applyBorder="1" applyAlignment="1">
      <alignment vertical="center"/>
    </xf>
    <xf numFmtId="0" fontId="23" fillId="24" borderId="10" xfId="0" applyNumberFormat="1" applyFont="1" applyFill="1" applyBorder="1" applyAlignment="1">
      <alignment horizontal="center" vertical="center"/>
    </xf>
    <xf numFmtId="4" fontId="22" fillId="24" borderId="10" xfId="0" applyNumberFormat="1" applyFont="1" applyFill="1" applyBorder="1" applyAlignment="1">
      <alignment horizontal="right" vertical="center"/>
    </xf>
    <xf numFmtId="44" fontId="20" fillId="24" borderId="10" xfId="0" applyNumberFormat="1" applyFont="1" applyFill="1" applyBorder="1" applyAlignment="1">
      <alignment vertical="top" wrapText="1"/>
    </xf>
    <xf numFmtId="211" fontId="20" fillId="24" borderId="10" xfId="0" applyNumberFormat="1" applyFont="1" applyFill="1" applyBorder="1" applyAlignment="1">
      <alignment horizontal="right" vertical="center"/>
    </xf>
    <xf numFmtId="0" fontId="20" fillId="24" borderId="10" xfId="0" applyNumberFormat="1" applyFont="1" applyFill="1" applyBorder="1" applyAlignment="1">
      <alignment vertical="center"/>
    </xf>
    <xf numFmtId="0" fontId="21" fillId="24" borderId="10" xfId="0" applyNumberFormat="1" applyFont="1" applyFill="1" applyBorder="1" applyAlignment="1">
      <alignment horizontal="center" vertical="center"/>
    </xf>
    <xf numFmtId="4" fontId="20" fillId="24" borderId="10" xfId="0" applyNumberFormat="1" applyFont="1" applyFill="1" applyBorder="1" applyAlignment="1">
      <alignment horizontal="right" vertical="center"/>
    </xf>
    <xf numFmtId="211" fontId="20" fillId="24" borderId="10" xfId="0" applyNumberFormat="1" applyFont="1" applyFill="1" applyBorder="1" applyAlignment="1">
      <alignment horizontal="right" vertical="center"/>
    </xf>
    <xf numFmtId="1" fontId="21" fillId="24" borderId="10" xfId="0" applyNumberFormat="1" applyFont="1" applyFill="1" applyBorder="1" applyAlignment="1">
      <alignment horizontal="center" vertical="center"/>
    </xf>
    <xf numFmtId="0" fontId="20" fillId="24" borderId="10" xfId="0" applyNumberFormat="1" applyFont="1" applyFill="1" applyBorder="1" applyAlignment="1">
      <alignment horizontal="right" vertical="center"/>
    </xf>
    <xf numFmtId="0" fontId="21" fillId="24" borderId="10" xfId="58" applyFont="1" applyFill="1" applyBorder="1" quotePrefix="1">
      <alignment/>
      <protection/>
    </xf>
    <xf numFmtId="2" fontId="20" fillId="24" borderId="10" xfId="0" applyNumberFormat="1" applyFont="1" applyFill="1" applyBorder="1" applyAlignment="1">
      <alignment vertical="center"/>
    </xf>
    <xf numFmtId="44" fontId="20" fillId="24" borderId="10" xfId="0" applyNumberFormat="1" applyFont="1" applyFill="1" applyBorder="1" applyAlignment="1">
      <alignment horizontal="left" vertical="center" wrapText="1"/>
    </xf>
    <xf numFmtId="9" fontId="20" fillId="24" borderId="10" xfId="0" applyNumberFormat="1" applyFont="1" applyFill="1" applyBorder="1" applyAlignment="1">
      <alignment vertical="center"/>
    </xf>
    <xf numFmtId="0" fontId="21" fillId="24" borderId="10" xfId="58" applyFont="1" applyFill="1" applyBorder="1" applyAlignment="1" quotePrefix="1">
      <alignment horizontal="left"/>
      <protection/>
    </xf>
    <xf numFmtId="0" fontId="20" fillId="24" borderId="10" xfId="0" applyNumberFormat="1" applyFont="1" applyFill="1" applyBorder="1" applyAlignment="1">
      <alignment/>
    </xf>
    <xf numFmtId="212" fontId="21" fillId="24" borderId="10" xfId="0" applyNumberFormat="1" applyFont="1" applyFill="1" applyBorder="1" applyAlignment="1">
      <alignment horizontal="center"/>
    </xf>
    <xf numFmtId="9" fontId="21" fillId="24" borderId="10" xfId="60" applyNumberFormat="1" applyFont="1" applyFill="1" applyBorder="1">
      <alignment/>
      <protection/>
    </xf>
    <xf numFmtId="0" fontId="22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horizontal="center"/>
    </xf>
    <xf numFmtId="3" fontId="76" fillId="24" borderId="10" xfId="0" applyNumberFormat="1" applyFont="1" applyFill="1" applyBorder="1" applyAlignment="1">
      <alignment horizontal="center"/>
    </xf>
    <xf numFmtId="3" fontId="76" fillId="24" borderId="10" xfId="0" applyNumberFormat="1" applyFont="1" applyFill="1" applyBorder="1" applyAlignment="1">
      <alignment/>
    </xf>
    <xf numFmtId="213" fontId="76" fillId="24" borderId="10" xfId="0" applyNumberFormat="1" applyFont="1" applyFill="1" applyBorder="1" applyAlignment="1">
      <alignment/>
    </xf>
    <xf numFmtId="41" fontId="76" fillId="24" borderId="10" xfId="0" applyNumberFormat="1" applyFont="1" applyFill="1" applyBorder="1" applyAlignment="1">
      <alignment horizontal="center"/>
    </xf>
    <xf numFmtId="214" fontId="76" fillId="24" borderId="10" xfId="0" applyNumberFormat="1" applyFont="1" applyFill="1" applyBorder="1" applyAlignment="1">
      <alignment/>
    </xf>
    <xf numFmtId="41" fontId="76" fillId="24" borderId="10" xfId="0" applyNumberFormat="1" applyFont="1" applyFill="1" applyBorder="1" applyAlignment="1">
      <alignment/>
    </xf>
    <xf numFmtId="215" fontId="76" fillId="24" borderId="10" xfId="0" applyNumberFormat="1" applyFont="1" applyFill="1" applyBorder="1" applyAlignment="1">
      <alignment/>
    </xf>
    <xf numFmtId="43" fontId="76" fillId="24" borderId="10" xfId="0" applyNumberFormat="1" applyFont="1" applyFill="1" applyBorder="1" applyAlignment="1">
      <alignment/>
    </xf>
    <xf numFmtId="41" fontId="83" fillId="24" borderId="0" xfId="0" applyNumberFormat="1" applyFont="1" applyFill="1" applyBorder="1" applyAlignment="1">
      <alignment horizontal="center"/>
    </xf>
    <xf numFmtId="41" fontId="76" fillId="24" borderId="0" xfId="0" applyNumberFormat="1" applyFont="1" applyFill="1" applyAlignment="1">
      <alignment/>
    </xf>
    <xf numFmtId="0" fontId="84" fillId="24" borderId="0" xfId="0" applyFont="1" applyFill="1" applyAlignment="1">
      <alignment horizontal="left"/>
    </xf>
    <xf numFmtId="0" fontId="85" fillId="24" borderId="0" xfId="0" applyFont="1" applyFill="1" applyAlignment="1">
      <alignment/>
    </xf>
    <xf numFmtId="41" fontId="21" fillId="24" borderId="0" xfId="0" applyNumberFormat="1" applyFont="1" applyFill="1" applyBorder="1" applyAlignment="1">
      <alignment horizontal="center"/>
    </xf>
    <xf numFmtId="216" fontId="85" fillId="24" borderId="0" xfId="0" applyNumberFormat="1" applyFont="1" applyFill="1" applyBorder="1" applyAlignment="1">
      <alignment/>
    </xf>
    <xf numFmtId="41" fontId="21" fillId="24" borderId="0" xfId="0" applyNumberFormat="1" applyFont="1" applyFill="1" applyBorder="1" applyAlignment="1">
      <alignment/>
    </xf>
    <xf numFmtId="41" fontId="76" fillId="24" borderId="0" xfId="0" applyNumberFormat="1" applyFont="1" applyFill="1" applyBorder="1" applyAlignment="1">
      <alignment/>
    </xf>
    <xf numFmtId="0" fontId="86" fillId="24" borderId="0" xfId="0" applyFont="1" applyFill="1" applyAlignment="1">
      <alignment/>
    </xf>
    <xf numFmtId="0" fontId="85" fillId="24" borderId="0" xfId="0" applyFont="1" applyFill="1" applyAlignment="1">
      <alignment/>
    </xf>
    <xf numFmtId="43" fontId="18" fillId="24" borderId="0" xfId="44" applyFont="1" applyFill="1" applyAlignment="1">
      <alignment/>
    </xf>
    <xf numFmtId="41" fontId="18" fillId="24" borderId="0" xfId="0" applyNumberFormat="1" applyFont="1" applyFill="1" applyBorder="1" applyAlignment="1">
      <alignment/>
    </xf>
    <xf numFmtId="41" fontId="80" fillId="24" borderId="0" xfId="0" applyNumberFormat="1" applyFont="1" applyFill="1" applyBorder="1" applyAlignment="1">
      <alignment/>
    </xf>
    <xf numFmtId="41" fontId="81" fillId="24" borderId="0" xfId="0" applyNumberFormat="1" applyFont="1" applyFill="1" applyAlignment="1">
      <alignment/>
    </xf>
    <xf numFmtId="0" fontId="10" fillId="24" borderId="0" xfId="0" applyFont="1" applyFill="1" applyAlignment="1">
      <alignment/>
    </xf>
    <xf numFmtId="41" fontId="87" fillId="24" borderId="0" xfId="0" applyNumberFormat="1" applyFont="1" applyFill="1" applyAlignment="1">
      <alignment/>
    </xf>
    <xf numFmtId="0" fontId="18" fillId="24" borderId="0" xfId="0" applyFont="1" applyFill="1" applyBorder="1" applyAlignment="1">
      <alignment/>
    </xf>
    <xf numFmtId="210" fontId="21" fillId="24" borderId="0" xfId="44" applyNumberFormat="1" applyFont="1" applyFill="1" applyBorder="1" applyAlignment="1">
      <alignment/>
    </xf>
    <xf numFmtId="3" fontId="21" fillId="24" borderId="0" xfId="0" applyNumberFormat="1" applyFont="1" applyFill="1" applyAlignment="1">
      <alignment horizontal="center"/>
    </xf>
    <xf numFmtId="41" fontId="18" fillId="24" borderId="0" xfId="0" applyNumberFormat="1" applyFont="1" applyFill="1" applyAlignment="1">
      <alignment/>
    </xf>
    <xf numFmtId="210" fontId="21" fillId="24" borderId="0" xfId="44" applyNumberFormat="1" applyFont="1" applyFill="1" applyAlignment="1">
      <alignment/>
    </xf>
    <xf numFmtId="210" fontId="76" fillId="24" borderId="0" xfId="44" applyNumberFormat="1" applyFont="1" applyFill="1" applyAlignment="1">
      <alignment/>
    </xf>
    <xf numFmtId="0" fontId="88" fillId="24" borderId="0" xfId="0" applyFont="1" applyFill="1" applyAlignment="1">
      <alignment/>
    </xf>
    <xf numFmtId="210" fontId="78" fillId="24" borderId="0" xfId="44" applyNumberFormat="1" applyFont="1" applyFill="1" applyBorder="1" applyAlignment="1">
      <alignment/>
    </xf>
    <xf numFmtId="210" fontId="18" fillId="24" borderId="0" xfId="0" applyNumberFormat="1" applyFont="1" applyFill="1" applyAlignment="1">
      <alignment/>
    </xf>
    <xf numFmtId="0" fontId="25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25" fillId="24" borderId="0" xfId="0" applyFont="1" applyFill="1" applyAlignment="1">
      <alignment horizontal="left"/>
    </xf>
    <xf numFmtId="0" fontId="14" fillId="24" borderId="0" xfId="0" applyFont="1" applyFill="1" applyBorder="1" applyAlignment="1">
      <alignment horizontal="center"/>
    </xf>
    <xf numFmtId="0" fontId="14" fillId="24" borderId="11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27" fillId="24" borderId="12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/>
    </xf>
    <xf numFmtId="0" fontId="28" fillId="0" borderId="12" xfId="0" applyFont="1" applyBorder="1" applyAlignment="1">
      <alignment horizontal="center" vertical="center"/>
    </xf>
    <xf numFmtId="179" fontId="28" fillId="24" borderId="13" xfId="42" applyNumberFormat="1" applyFont="1" applyFill="1" applyBorder="1" applyAlignment="1">
      <alignment horizontal="center" vertical="center"/>
    </xf>
    <xf numFmtId="217" fontId="28" fillId="24" borderId="13" xfId="0" applyNumberFormat="1" applyFont="1" applyFill="1" applyBorder="1" applyAlignment="1">
      <alignment horizontal="center" vertical="center" wrapText="1"/>
    </xf>
    <xf numFmtId="218" fontId="28" fillId="24" borderId="13" xfId="0" applyNumberFormat="1" applyFont="1" applyFill="1" applyBorder="1" applyAlignment="1">
      <alignment horizontal="center" vertical="center" wrapText="1"/>
    </xf>
    <xf numFmtId="219" fontId="28" fillId="24" borderId="13" xfId="42" applyNumberFormat="1" applyFont="1" applyFill="1" applyBorder="1" applyAlignment="1">
      <alignment horizontal="center" vertical="center" wrapText="1"/>
    </xf>
    <xf numFmtId="219" fontId="28" fillId="24" borderId="13" xfId="0" applyNumberFormat="1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/>
    </xf>
    <xf numFmtId="219" fontId="28" fillId="24" borderId="0" xfId="0" applyNumberFormat="1" applyFont="1" applyFill="1" applyAlignment="1">
      <alignment/>
    </xf>
    <xf numFmtId="0" fontId="27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/>
    </xf>
    <xf numFmtId="4" fontId="27" fillId="24" borderId="10" xfId="0" applyNumberFormat="1" applyFont="1" applyFill="1" applyBorder="1" applyAlignment="1">
      <alignment/>
    </xf>
    <xf numFmtId="217" fontId="27" fillId="24" borderId="10" xfId="0" applyNumberFormat="1" applyFont="1" applyFill="1" applyBorder="1" applyAlignment="1">
      <alignment horizontal="center" vertical="center" wrapText="1"/>
    </xf>
    <xf numFmtId="220" fontId="27" fillId="24" borderId="10" xfId="0" applyNumberFormat="1" applyFont="1" applyFill="1" applyBorder="1" applyAlignment="1">
      <alignment horizontal="center" vertical="center" wrapText="1"/>
    </xf>
    <xf numFmtId="218" fontId="27" fillId="24" borderId="10" xfId="0" applyNumberFormat="1" applyFont="1" applyFill="1" applyBorder="1" applyAlignment="1">
      <alignment horizontal="center" vertical="center" wrapText="1"/>
    </xf>
    <xf numFmtId="179" fontId="27" fillId="24" borderId="10" xfId="42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4" fontId="27" fillId="24" borderId="0" xfId="0" applyNumberFormat="1" applyFont="1" applyFill="1" applyBorder="1" applyAlignment="1">
      <alignment/>
    </xf>
    <xf numFmtId="217" fontId="27" fillId="24" borderId="0" xfId="0" applyNumberFormat="1" applyFont="1" applyFill="1" applyBorder="1" applyAlignment="1">
      <alignment horizontal="center" vertical="center" wrapText="1"/>
    </xf>
    <xf numFmtId="220" fontId="27" fillId="24" borderId="0" xfId="0" applyNumberFormat="1" applyFont="1" applyFill="1" applyBorder="1" applyAlignment="1">
      <alignment horizontal="center" vertical="center" wrapText="1"/>
    </xf>
    <xf numFmtId="218" fontId="27" fillId="24" borderId="0" xfId="0" applyNumberFormat="1" applyFont="1" applyFill="1" applyBorder="1" applyAlignment="1">
      <alignment horizontal="center" vertical="center" wrapText="1"/>
    </xf>
    <xf numFmtId="179" fontId="27" fillId="24" borderId="0" xfId="42" applyNumberFormat="1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219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219" fontId="8" fillId="0" borderId="0" xfId="42" applyNumberFormat="1" applyFont="1" applyAlignment="1">
      <alignment/>
    </xf>
    <xf numFmtId="0" fontId="25" fillId="0" borderId="0" xfId="0" applyFont="1" applyAlignment="1">
      <alignment/>
    </xf>
    <xf numFmtId="219" fontId="8" fillId="0" borderId="0" xfId="0" applyNumberFormat="1" applyFont="1" applyAlignment="1">
      <alignment horizontal="left"/>
    </xf>
    <xf numFmtId="219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left"/>
    </xf>
    <xf numFmtId="218" fontId="8" fillId="0" borderId="0" xfId="0" applyNumberFormat="1" applyFont="1" applyAlignment="1">
      <alignment/>
    </xf>
    <xf numFmtId="219" fontId="31" fillId="0" borderId="0" xfId="4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18" fontId="28" fillId="0" borderId="0" xfId="0" applyNumberFormat="1" applyFont="1" applyAlignment="1">
      <alignment/>
    </xf>
    <xf numFmtId="218" fontId="8" fillId="0" borderId="0" xfId="0" applyNumberFormat="1" applyFont="1" applyBorder="1" applyAlignment="1">
      <alignment/>
    </xf>
    <xf numFmtId="0" fontId="26" fillId="24" borderId="0" xfId="0" applyFont="1" applyFill="1" applyAlignment="1">
      <alignment/>
    </xf>
    <xf numFmtId="220" fontId="28" fillId="24" borderId="13" xfId="0" applyNumberFormat="1" applyFont="1" applyFill="1" applyBorder="1" applyAlignment="1">
      <alignment horizontal="center" vertical="center" wrapText="1"/>
    </xf>
    <xf numFmtId="219" fontId="27" fillId="24" borderId="13" xfId="42" applyNumberFormat="1" applyFont="1" applyFill="1" applyBorder="1" applyAlignment="1">
      <alignment horizontal="center" vertical="center" wrapText="1"/>
    </xf>
    <xf numFmtId="219" fontId="27" fillId="24" borderId="0" xfId="42" applyNumberFormat="1" applyFont="1" applyFill="1" applyBorder="1" applyAlignment="1">
      <alignment horizontal="center" vertical="center" wrapText="1"/>
    </xf>
    <xf numFmtId="218" fontId="25" fillId="0" borderId="0" xfId="0" applyNumberFormat="1" applyFont="1" applyAlignment="1">
      <alignment/>
    </xf>
    <xf numFmtId="219" fontId="8" fillId="0" borderId="0" xfId="42" applyNumberFormat="1" applyFont="1" applyBorder="1" applyAlignment="1">
      <alignment/>
    </xf>
    <xf numFmtId="0" fontId="25" fillId="24" borderId="0" xfId="0" applyFont="1" applyFill="1" applyAlignment="1">
      <alignment horizontal="center"/>
    </xf>
    <xf numFmtId="0" fontId="8" fillId="24" borderId="0" xfId="0" applyFont="1" applyFill="1" applyAlignment="1">
      <alignment/>
    </xf>
    <xf numFmtId="0" fontId="14" fillId="24" borderId="0" xfId="0" applyFont="1" applyFill="1" applyBorder="1" applyAlignment="1">
      <alignment/>
    </xf>
    <xf numFmtId="0" fontId="27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/>
    </xf>
    <xf numFmtId="0" fontId="27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179" fontId="28" fillId="24" borderId="12" xfId="42" applyNumberFormat="1" applyFont="1" applyFill="1" applyBorder="1" applyAlignment="1">
      <alignment horizontal="center" vertical="center"/>
    </xf>
    <xf numFmtId="217" fontId="28" fillId="24" borderId="10" xfId="0" applyNumberFormat="1" applyFont="1" applyFill="1" applyBorder="1" applyAlignment="1">
      <alignment horizontal="center" vertical="center" wrapText="1"/>
    </xf>
    <xf numFmtId="9" fontId="28" fillId="24" borderId="10" xfId="0" applyNumberFormat="1" applyFont="1" applyFill="1" applyBorder="1" applyAlignment="1">
      <alignment vertical="center" wrapText="1"/>
    </xf>
    <xf numFmtId="219" fontId="28" fillId="24" borderId="12" xfId="42" applyNumberFormat="1" applyFont="1" applyFill="1" applyBorder="1" applyAlignment="1">
      <alignment horizontal="center" vertical="center" wrapText="1"/>
    </xf>
    <xf numFmtId="219" fontId="28" fillId="24" borderId="10" xfId="42" applyNumberFormat="1" applyFont="1" applyFill="1" applyBorder="1" applyAlignment="1">
      <alignment horizontal="right" vertical="center" wrapText="1"/>
    </xf>
    <xf numFmtId="219" fontId="28" fillId="24" borderId="10" xfId="0" applyNumberFormat="1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vertical="center"/>
    </xf>
    <xf numFmtId="0" fontId="28" fillId="24" borderId="0" xfId="0" applyFont="1" applyFill="1" applyAlignment="1">
      <alignment horizontal="left"/>
    </xf>
    <xf numFmtId="219" fontId="28" fillId="24" borderId="10" xfId="42" applyNumberFormat="1" applyFont="1" applyFill="1" applyBorder="1" applyAlignment="1" quotePrefix="1">
      <alignment horizontal="center" vertical="center"/>
    </xf>
    <xf numFmtId="221" fontId="27" fillId="24" borderId="10" xfId="42" applyNumberFormat="1" applyFont="1" applyFill="1" applyBorder="1" applyAlignment="1">
      <alignment horizontal="center"/>
    </xf>
    <xf numFmtId="221" fontId="27" fillId="24" borderId="14" xfId="42" applyNumberFormat="1" applyFont="1" applyFill="1" applyBorder="1" applyAlignment="1">
      <alignment horizontal="center"/>
    </xf>
    <xf numFmtId="219" fontId="27" fillId="24" borderId="14" xfId="42" applyNumberFormat="1" applyFont="1" applyFill="1" applyBorder="1" applyAlignment="1">
      <alignment horizontal="center"/>
    </xf>
    <xf numFmtId="219" fontId="27" fillId="24" borderId="10" xfId="42" applyNumberFormat="1" applyFont="1" applyFill="1" applyBorder="1" applyAlignment="1">
      <alignment horizontal="center"/>
    </xf>
    <xf numFmtId="0" fontId="27" fillId="24" borderId="14" xfId="0" applyFont="1" applyFill="1" applyBorder="1" applyAlignment="1">
      <alignment/>
    </xf>
    <xf numFmtId="0" fontId="27" fillId="24" borderId="0" xfId="0" applyFont="1" applyFill="1" applyAlignment="1">
      <alignment/>
    </xf>
    <xf numFmtId="219" fontId="27" fillId="24" borderId="0" xfId="42" applyNumberFormat="1" applyFont="1" applyFill="1" applyBorder="1" applyAlignment="1">
      <alignment horizontal="center"/>
    </xf>
    <xf numFmtId="219" fontId="28" fillId="24" borderId="0" xfId="42" applyNumberFormat="1" applyFont="1" applyFill="1" applyBorder="1" applyAlignment="1" quotePrefix="1">
      <alignment horizontal="center" vertical="center"/>
    </xf>
    <xf numFmtId="221" fontId="27" fillId="24" borderId="0" xfId="42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/>
    </xf>
    <xf numFmtId="0" fontId="33" fillId="24" borderId="0" xfId="0" applyFont="1" applyFill="1" applyBorder="1" applyAlignment="1">
      <alignment vertical="center"/>
    </xf>
    <xf numFmtId="0" fontId="30" fillId="24" borderId="0" xfId="0" applyFont="1" applyFill="1" applyAlignment="1">
      <alignment horizontal="left" vertical="center"/>
    </xf>
    <xf numFmtId="0" fontId="35" fillId="24" borderId="0" xfId="0" applyFont="1" applyFill="1" applyAlignment="1">
      <alignment horizontal="left"/>
    </xf>
    <xf numFmtId="219" fontId="28" fillId="24" borderId="0" xfId="0" applyNumberFormat="1" applyFont="1" applyFill="1" applyAlignment="1">
      <alignment/>
    </xf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/>
    </xf>
    <xf numFmtId="0" fontId="25" fillId="24" borderId="0" xfId="0" applyFont="1" applyFill="1" applyAlignment="1">
      <alignment/>
    </xf>
    <xf numFmtId="219" fontId="8" fillId="24" borderId="0" xfId="0" applyNumberFormat="1" applyFont="1" applyFill="1" applyAlignment="1">
      <alignment horizontal="left"/>
    </xf>
    <xf numFmtId="3" fontId="8" fillId="24" borderId="0" xfId="0" applyNumberFormat="1" applyFont="1" applyFill="1" applyAlignment="1">
      <alignment horizontal="left"/>
    </xf>
    <xf numFmtId="0" fontId="25" fillId="0" borderId="0" xfId="0" applyFont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2" xfId="0" applyFont="1" applyBorder="1" applyAlignment="1">
      <alignment horizontal="left"/>
    </xf>
    <xf numFmtId="217" fontId="28" fillId="24" borderId="12" xfId="0" applyNumberFormat="1" applyFont="1" applyFill="1" applyBorder="1" applyAlignment="1">
      <alignment horizontal="center" vertical="center" wrapText="1"/>
    </xf>
    <xf numFmtId="9" fontId="28" fillId="0" borderId="12" xfId="0" applyNumberFormat="1" applyFont="1" applyBorder="1" applyAlignment="1">
      <alignment vertical="center" wrapText="1"/>
    </xf>
    <xf numFmtId="219" fontId="28" fillId="0" borderId="12" xfId="42" applyNumberFormat="1" applyFont="1" applyBorder="1" applyAlignment="1">
      <alignment horizontal="right" vertical="center" wrapText="1"/>
    </xf>
    <xf numFmtId="219" fontId="28" fillId="0" borderId="12" xfId="0" applyNumberFormat="1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219" fontId="28" fillId="0" borderId="10" xfId="42" applyNumberFormat="1" applyFont="1" applyBorder="1" applyAlignment="1" quotePrefix="1">
      <alignment horizontal="center" vertical="center"/>
    </xf>
    <xf numFmtId="221" fontId="27" fillId="0" borderId="10" xfId="42" applyNumberFormat="1" applyFont="1" applyBorder="1" applyAlignment="1">
      <alignment horizontal="center"/>
    </xf>
    <xf numFmtId="219" fontId="27" fillId="0" borderId="10" xfId="42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219" fontId="27" fillId="0" borderId="0" xfId="42" applyNumberFormat="1" applyFont="1" applyBorder="1" applyAlignment="1">
      <alignment horizontal="center"/>
    </xf>
    <xf numFmtId="219" fontId="28" fillId="0" borderId="0" xfId="42" applyNumberFormat="1" applyFont="1" applyBorder="1" applyAlignment="1" quotePrefix="1">
      <alignment horizontal="center" vertical="center"/>
    </xf>
    <xf numFmtId="221" fontId="27" fillId="0" borderId="0" xfId="42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35" fillId="0" borderId="0" xfId="0" applyFont="1" applyAlignment="1">
      <alignment horizontal="left"/>
    </xf>
    <xf numFmtId="219" fontId="28" fillId="0" borderId="0" xfId="0" applyNumberFormat="1" applyFont="1" applyAlignment="1">
      <alignment/>
    </xf>
    <xf numFmtId="0" fontId="30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left"/>
    </xf>
    <xf numFmtId="0" fontId="36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222" fontId="36" fillId="0" borderId="13" xfId="0" applyNumberFormat="1" applyFont="1" applyBorder="1" applyAlignment="1">
      <alignment horizontal="right"/>
    </xf>
    <xf numFmtId="222" fontId="18" fillId="0" borderId="16" xfId="0" applyNumberFormat="1" applyFont="1" applyBorder="1" applyAlignment="1">
      <alignment horizontal="right" vertical="center" wrapText="1"/>
    </xf>
    <xf numFmtId="0" fontId="18" fillId="0" borderId="16" xfId="0" applyFont="1" applyBorder="1" applyAlignment="1">
      <alignment horizontal="right" vertical="center" wrapText="1"/>
    </xf>
    <xf numFmtId="3" fontId="36" fillId="0" borderId="16" xfId="0" applyNumberFormat="1" applyFont="1" applyBorder="1" applyAlignment="1">
      <alignment horizontal="right" vertical="center" wrapText="1"/>
    </xf>
    <xf numFmtId="3" fontId="36" fillId="24" borderId="13" xfId="0" applyNumberFormat="1" applyFont="1" applyFill="1" applyBorder="1" applyAlignment="1">
      <alignment horizontal="right" vertical="center" wrapText="1"/>
    </xf>
    <xf numFmtId="3" fontId="36" fillId="0" borderId="13" xfId="0" applyNumberFormat="1" applyFont="1" applyBorder="1" applyAlignment="1">
      <alignment horizontal="right" vertical="center" wrapText="1"/>
    </xf>
    <xf numFmtId="0" fontId="18" fillId="0" borderId="13" xfId="0" applyFont="1" applyBorder="1" applyAlignment="1">
      <alignment horizontal="right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/>
    </xf>
    <xf numFmtId="0" fontId="41" fillId="24" borderId="10" xfId="0" applyFont="1" applyFill="1" applyBorder="1" applyAlignment="1">
      <alignment horizontal="center"/>
    </xf>
    <xf numFmtId="222" fontId="36" fillId="0" borderId="10" xfId="0" applyNumberFormat="1" applyFont="1" applyBorder="1" applyAlignment="1" quotePrefix="1">
      <alignment horizontal="right"/>
    </xf>
    <xf numFmtId="3" fontId="41" fillId="24" borderId="10" xfId="0" applyNumberFormat="1" applyFont="1" applyFill="1" applyBorder="1" applyAlignment="1">
      <alignment horizontal="right"/>
    </xf>
    <xf numFmtId="49" fontId="20" fillId="0" borderId="10" xfId="0" applyNumberFormat="1" applyFont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/>
    </xf>
    <xf numFmtId="0" fontId="43" fillId="24" borderId="0" xfId="0" applyFont="1" applyFill="1" applyBorder="1" applyAlignment="1">
      <alignment horizontal="center"/>
    </xf>
    <xf numFmtId="2" fontId="37" fillId="24" borderId="0" xfId="0" applyNumberFormat="1" applyFont="1" applyFill="1" applyBorder="1" applyAlignment="1" quotePrefix="1">
      <alignment/>
    </xf>
    <xf numFmtId="1" fontId="43" fillId="24" borderId="0" xfId="0" applyNumberFormat="1" applyFont="1" applyFill="1" applyBorder="1" applyAlignment="1">
      <alignment/>
    </xf>
    <xf numFmtId="3" fontId="43" fillId="24" borderId="0" xfId="0" applyNumberFormat="1" applyFont="1" applyFill="1" applyBorder="1" applyAlignment="1">
      <alignment horizontal="right"/>
    </xf>
    <xf numFmtId="3" fontId="43" fillId="24" borderId="0" xfId="0" applyNumberFormat="1" applyFont="1" applyFill="1" applyBorder="1" applyAlignment="1">
      <alignment/>
    </xf>
    <xf numFmtId="0" fontId="44" fillId="24" borderId="0" xfId="0" applyFont="1" applyFill="1" applyBorder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" fillId="0" borderId="0" xfId="0" applyFont="1" applyAlignment="1">
      <alignment/>
    </xf>
    <xf numFmtId="0" fontId="56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57" fillId="20" borderId="10" xfId="0" applyFont="1" applyFill="1" applyBorder="1" applyAlignment="1">
      <alignment horizontal="center" vertical="center"/>
    </xf>
    <xf numFmtId="222" fontId="13" fillId="0" borderId="10" xfId="0" applyNumberFormat="1" applyFont="1" applyBorder="1" applyAlignment="1">
      <alignment horizontal="right" vertical="center" wrapText="1"/>
    </xf>
    <xf numFmtId="223" fontId="13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36" fillId="25" borderId="13" xfId="0" applyNumberFormat="1" applyFont="1" applyFill="1" applyBorder="1" applyAlignment="1">
      <alignment horizontal="right" vertical="center" wrapText="1"/>
    </xf>
    <xf numFmtId="0" fontId="36" fillId="0" borderId="15" xfId="0" applyFont="1" applyBorder="1" applyAlignment="1">
      <alignment horizontal="left"/>
    </xf>
    <xf numFmtId="222" fontId="36" fillId="0" borderId="15" xfId="0" applyNumberFormat="1" applyFont="1" applyBorder="1" applyAlignment="1">
      <alignment horizontal="right"/>
    </xf>
    <xf numFmtId="22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>
      <alignment horizontal="right" vertical="center" wrapText="1"/>
    </xf>
    <xf numFmtId="3" fontId="36" fillId="0" borderId="17" xfId="0" applyNumberFormat="1" applyFont="1" applyBorder="1" applyAlignment="1">
      <alignment horizontal="right" vertical="center" wrapText="1"/>
    </xf>
    <xf numFmtId="3" fontId="36" fillId="25" borderId="15" xfId="0" applyNumberFormat="1" applyFont="1" applyFill="1" applyBorder="1" applyAlignment="1">
      <alignment horizontal="right" vertical="center" wrapText="1"/>
    </xf>
    <xf numFmtId="3" fontId="36" fillId="0" borderId="15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223" fontId="36" fillId="0" borderId="10" xfId="0" applyNumberFormat="1" applyFont="1" applyBorder="1" applyAlignment="1" quotePrefix="1">
      <alignment horizontal="right"/>
    </xf>
    <xf numFmtId="0" fontId="27" fillId="24" borderId="18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/>
    </xf>
    <xf numFmtId="210" fontId="10" fillId="24" borderId="10" xfId="44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40" fillId="0" borderId="0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37" fillId="0" borderId="0" xfId="0" applyFont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0" fontId="76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/>
    </xf>
    <xf numFmtId="0" fontId="17" fillId="24" borderId="0" xfId="0" applyFont="1" applyFill="1" applyAlignment="1">
      <alignment horizontal="center"/>
    </xf>
    <xf numFmtId="0" fontId="79" fillId="24" borderId="10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222" fontId="36" fillId="0" borderId="10" xfId="0" applyNumberFormat="1" applyFont="1" applyBorder="1" applyAlignment="1">
      <alignment horizontal="right" vertical="center"/>
    </xf>
    <xf numFmtId="9" fontId="92" fillId="0" borderId="10" xfId="0" applyNumberFormat="1" applyFont="1" applyBorder="1" applyAlignment="1">
      <alignment horizontal="center" vertical="center"/>
    </xf>
    <xf numFmtId="224" fontId="92" fillId="0" borderId="10" xfId="0" applyNumberFormat="1" applyFont="1" applyBorder="1" applyAlignment="1">
      <alignment vertical="center" wrapText="1"/>
    </xf>
    <xf numFmtId="0" fontId="92" fillId="0" borderId="10" xfId="0" applyFont="1" applyBorder="1" applyAlignment="1">
      <alignment vertical="center" wrapText="1"/>
    </xf>
    <xf numFmtId="219" fontId="92" fillId="0" borderId="10" xfId="42" applyNumberFormat="1" applyFont="1" applyBorder="1" applyAlignment="1">
      <alignment vertical="center" wrapText="1"/>
    </xf>
    <xf numFmtId="3" fontId="92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49" fontId="92" fillId="0" borderId="10" xfId="0" applyNumberFormat="1" applyFont="1" applyBorder="1" applyAlignment="1">
      <alignment horizontal="center" vertical="center" wrapText="1"/>
    </xf>
    <xf numFmtId="0" fontId="92" fillId="24" borderId="14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3" fontId="24" fillId="24" borderId="14" xfId="0" applyNumberFormat="1" applyFont="1" applyFill="1" applyBorder="1" applyAlignment="1">
      <alignment horizontal="right"/>
    </xf>
    <xf numFmtId="224" fontId="92" fillId="0" borderId="14" xfId="0" applyNumberFormat="1" applyFont="1" applyBorder="1" applyAlignment="1" quotePrefix="1">
      <alignment horizontal="right"/>
    </xf>
    <xf numFmtId="223" fontId="92" fillId="0" borderId="14" xfId="0" applyNumberFormat="1" applyFont="1" applyBorder="1" applyAlignment="1" quotePrefix="1">
      <alignment horizontal="right"/>
    </xf>
    <xf numFmtId="219" fontId="92" fillId="0" borderId="14" xfId="42" applyNumberFormat="1" applyFont="1" applyBorder="1" applyAlignment="1" quotePrefix="1">
      <alignment horizontal="right"/>
    </xf>
    <xf numFmtId="0" fontId="24" fillId="24" borderId="14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7" fillId="0" borderId="0" xfId="0" applyFont="1" applyAlignment="1">
      <alignment/>
    </xf>
    <xf numFmtId="0" fontId="52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15" fillId="0" borderId="0" xfId="0" applyFont="1" applyAlignment="1">
      <alignment/>
    </xf>
    <xf numFmtId="0" fontId="10" fillId="24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2" fontId="36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53" fillId="0" borderId="0" xfId="0" applyFont="1" applyAlignment="1">
      <alignment/>
    </xf>
    <xf numFmtId="0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0" fontId="94" fillId="0" borderId="10" xfId="0" applyNumberFormat="1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/>
    </xf>
    <xf numFmtId="0" fontId="92" fillId="24" borderId="12" xfId="61" applyFont="1" applyFill="1" applyBorder="1" applyAlignment="1">
      <alignment horizontal="center" vertical="center" shrinkToFit="1"/>
      <protection/>
    </xf>
    <xf numFmtId="0" fontId="92" fillId="0" borderId="12" xfId="0" applyFont="1" applyBorder="1" applyAlignment="1">
      <alignment horizontal="left" vertical="center"/>
    </xf>
    <xf numFmtId="225" fontId="92" fillId="0" borderId="12" xfId="61" applyNumberFormat="1" applyFont="1" applyBorder="1" applyAlignment="1">
      <alignment horizontal="right" vertical="center" shrinkToFit="1"/>
      <protection/>
    </xf>
    <xf numFmtId="0" fontId="21" fillId="0" borderId="12" xfId="0" applyFont="1" applyBorder="1" applyAlignment="1">
      <alignment horizontal="center" vertical="center" wrapText="1"/>
    </xf>
    <xf numFmtId="2" fontId="92" fillId="0" borderId="12" xfId="0" applyNumberFormat="1" applyFont="1" applyBorder="1" applyAlignment="1">
      <alignment/>
    </xf>
    <xf numFmtId="4" fontId="92" fillId="0" borderId="12" xfId="61" applyNumberFormat="1" applyFont="1" applyBorder="1" applyAlignment="1">
      <alignment horizontal="right" vertical="center" shrinkToFit="1"/>
      <protection/>
    </xf>
    <xf numFmtId="0" fontId="92" fillId="0" borderId="12" xfId="0" applyFont="1" applyBorder="1" applyAlignment="1">
      <alignment horizontal="center" vertical="center" wrapText="1"/>
    </xf>
    <xf numFmtId="226" fontId="92" fillId="0" borderId="12" xfId="61" applyNumberFormat="1" applyFont="1" applyBorder="1" applyAlignment="1">
      <alignment horizontal="right" vertical="center" shrinkToFit="1"/>
      <protection/>
    </xf>
    <xf numFmtId="0" fontId="92" fillId="0" borderId="12" xfId="0" applyFont="1" applyBorder="1" applyAlignment="1">
      <alignment horizontal="right"/>
    </xf>
    <xf numFmtId="222" fontId="92" fillId="0" borderId="12" xfId="0" applyNumberFormat="1" applyFont="1" applyBorder="1" applyAlignment="1">
      <alignment horizontal="center" vertical="center" wrapText="1"/>
    </xf>
    <xf numFmtId="222" fontId="92" fillId="0" borderId="12" xfId="0" applyNumberFormat="1" applyFont="1" applyBorder="1" applyAlignment="1">
      <alignment horizontal="right" vertical="center" wrapText="1"/>
    </xf>
    <xf numFmtId="49" fontId="92" fillId="0" borderId="12" xfId="61" applyNumberFormat="1" applyFont="1" applyFill="1" applyBorder="1" applyAlignment="1">
      <alignment horizontal="center" vertical="center" shrinkToFit="1"/>
      <protection/>
    </xf>
    <xf numFmtId="3" fontId="92" fillId="0" borderId="12" xfId="45" applyNumberFormat="1" applyFont="1" applyFill="1" applyBorder="1" applyAlignment="1">
      <alignment horizontal="right" vertical="center" shrinkToFit="1"/>
    </xf>
    <xf numFmtId="0" fontId="18" fillId="0" borderId="12" xfId="61" applyFont="1" applyBorder="1">
      <alignment/>
      <protection/>
    </xf>
    <xf numFmtId="49" fontId="20" fillId="0" borderId="12" xfId="0" applyNumberFormat="1" applyFont="1" applyBorder="1" applyAlignment="1">
      <alignment horizontal="center" vertical="center" wrapText="1"/>
    </xf>
    <xf numFmtId="0" fontId="92" fillId="24" borderId="15" xfId="61" applyFont="1" applyFill="1" applyBorder="1" applyAlignment="1">
      <alignment horizontal="center" vertical="center" shrinkToFit="1"/>
      <protection/>
    </xf>
    <xf numFmtId="0" fontId="92" fillId="0" borderId="15" xfId="0" applyFont="1" applyBorder="1" applyAlignment="1">
      <alignment/>
    </xf>
    <xf numFmtId="225" fontId="92" fillId="0" borderId="15" xfId="61" applyNumberFormat="1" applyFont="1" applyBorder="1" applyAlignment="1">
      <alignment horizontal="right" vertical="center" shrinkToFit="1"/>
      <protection/>
    </xf>
    <xf numFmtId="0" fontId="21" fillId="0" borderId="15" xfId="0" applyFont="1" applyBorder="1" applyAlignment="1">
      <alignment horizontal="center" vertical="center" wrapText="1"/>
    </xf>
    <xf numFmtId="2" fontId="92" fillId="0" borderId="15" xfId="0" applyNumberFormat="1" applyFont="1" applyBorder="1" applyAlignment="1">
      <alignment horizontal="right"/>
    </xf>
    <xf numFmtId="4" fontId="92" fillId="0" borderId="15" xfId="61" applyNumberFormat="1" applyFont="1" applyBorder="1" applyAlignment="1">
      <alignment horizontal="right" vertical="center" shrinkToFit="1"/>
      <protection/>
    </xf>
    <xf numFmtId="0" fontId="92" fillId="0" borderId="15" xfId="0" applyFont="1" applyBorder="1" applyAlignment="1">
      <alignment horizontal="center" vertical="center" wrapText="1"/>
    </xf>
    <xf numFmtId="2" fontId="92" fillId="0" borderId="15" xfId="0" applyNumberFormat="1" applyFont="1" applyBorder="1" applyAlignment="1">
      <alignment/>
    </xf>
    <xf numFmtId="222" fontId="92" fillId="0" borderId="15" xfId="0" applyNumberFormat="1" applyFont="1" applyBorder="1" applyAlignment="1">
      <alignment horizontal="center" vertical="center" wrapText="1"/>
    </xf>
    <xf numFmtId="222" fontId="92" fillId="0" borderId="15" xfId="0" applyNumberFormat="1" applyFont="1" applyBorder="1" applyAlignment="1">
      <alignment horizontal="right" vertical="center" wrapText="1"/>
    </xf>
    <xf numFmtId="49" fontId="92" fillId="0" borderId="15" xfId="61" applyNumberFormat="1" applyFont="1" applyFill="1" applyBorder="1" applyAlignment="1">
      <alignment horizontal="center" vertical="center" shrinkToFit="1"/>
      <protection/>
    </xf>
    <xf numFmtId="3" fontId="92" fillId="0" borderId="15" xfId="45" applyNumberFormat="1" applyFont="1" applyFill="1" applyBorder="1" applyAlignment="1">
      <alignment horizontal="right" vertical="center" shrinkToFit="1"/>
    </xf>
    <xf numFmtId="0" fontId="18" fillId="0" borderId="15" xfId="61" applyFont="1" applyBorder="1">
      <alignment/>
      <protection/>
    </xf>
    <xf numFmtId="49" fontId="20" fillId="0" borderId="15" xfId="0" applyNumberFormat="1" applyFont="1" applyBorder="1" applyAlignment="1">
      <alignment horizontal="center" vertical="center" wrapText="1"/>
    </xf>
    <xf numFmtId="0" fontId="57" fillId="0" borderId="10" xfId="61" applyNumberFormat="1" applyFont="1" applyBorder="1" applyAlignment="1">
      <alignment horizontal="right" vertical="center"/>
      <protection/>
    </xf>
    <xf numFmtId="0" fontId="57" fillId="0" borderId="10" xfId="61" applyNumberFormat="1" applyFont="1" applyBorder="1" applyAlignment="1">
      <alignment horizontal="center"/>
      <protection/>
    </xf>
    <xf numFmtId="226" fontId="20" fillId="0" borderId="10" xfId="61" applyNumberFormat="1" applyFont="1" applyBorder="1" applyAlignment="1">
      <alignment horizontal="right" vertical="center" shrinkToFit="1"/>
      <protection/>
    </xf>
    <xf numFmtId="226" fontId="57" fillId="0" borderId="10" xfId="61" applyNumberFormat="1" applyFont="1" applyFill="1" applyBorder="1" applyAlignment="1">
      <alignment/>
      <protection/>
    </xf>
    <xf numFmtId="226" fontId="57" fillId="0" borderId="10" xfId="61" applyNumberFormat="1" applyFont="1" applyBorder="1">
      <alignment/>
      <protection/>
    </xf>
    <xf numFmtId="226" fontId="20" fillId="0" borderId="10" xfId="45" applyNumberFormat="1" applyFont="1" applyFill="1" applyBorder="1" applyAlignment="1">
      <alignment horizontal="right" vertical="center" shrinkToFit="1"/>
    </xf>
    <xf numFmtId="3" fontId="57" fillId="0" borderId="10" xfId="61" applyNumberFormat="1" applyFont="1" applyBorder="1">
      <alignment/>
      <protection/>
    </xf>
    <xf numFmtId="0" fontId="22" fillId="0" borderId="10" xfId="61" applyFont="1" applyBorder="1">
      <alignment/>
      <protection/>
    </xf>
    <xf numFmtId="0" fontId="28" fillId="0" borderId="10" xfId="0" applyFont="1" applyBorder="1" applyAlignment="1">
      <alignment/>
    </xf>
    <xf numFmtId="0" fontId="9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61" applyFont="1">
      <alignment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94" fillId="0" borderId="19" xfId="0" applyFont="1" applyBorder="1" applyAlignment="1">
      <alignment horizontal="center"/>
    </xf>
    <xf numFmtId="0" fontId="18" fillId="24" borderId="13" xfId="61" applyFont="1" applyFill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left"/>
    </xf>
    <xf numFmtId="225" fontId="18" fillId="0" borderId="13" xfId="61" applyNumberFormat="1" applyFont="1" applyBorder="1" applyAlignment="1">
      <alignment horizontal="right" vertical="center" shrinkToFit="1"/>
      <protection/>
    </xf>
    <xf numFmtId="0" fontId="77" fillId="24" borderId="10" xfId="0" applyFont="1" applyFill="1" applyBorder="1" applyAlignment="1">
      <alignment horizontal="center" vertical="center" wrapText="1"/>
    </xf>
    <xf numFmtId="209" fontId="71" fillId="24" borderId="0" xfId="44" applyNumberFormat="1" applyFont="1" applyFill="1" applyAlignment="1">
      <alignment horizontal="center"/>
    </xf>
    <xf numFmtId="209" fontId="19" fillId="24" borderId="0" xfId="44" applyNumberFormat="1" applyFont="1" applyFill="1" applyAlignment="1">
      <alignment horizontal="center"/>
    </xf>
    <xf numFmtId="0" fontId="17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2" fontId="18" fillId="0" borderId="13" xfId="0" applyNumberFormat="1" applyFont="1" applyBorder="1" applyAlignment="1">
      <alignment/>
    </xf>
    <xf numFmtId="4" fontId="18" fillId="0" borderId="13" xfId="61" applyNumberFormat="1" applyFont="1" applyBorder="1" applyAlignment="1">
      <alignment horizontal="right" vertical="center" shrinkToFit="1"/>
      <protection/>
    </xf>
    <xf numFmtId="0" fontId="18" fillId="0" borderId="13" xfId="0" applyFont="1" applyBorder="1" applyAlignment="1">
      <alignment horizontal="right"/>
    </xf>
    <xf numFmtId="222" fontId="18" fillId="0" borderId="13" xfId="0" applyNumberFormat="1" applyFont="1" applyBorder="1" applyAlignment="1">
      <alignment horizontal="center" vertical="center" wrapText="1"/>
    </xf>
    <xf numFmtId="222" fontId="18" fillId="0" borderId="13" xfId="0" applyNumberFormat="1" applyFont="1" applyBorder="1" applyAlignment="1">
      <alignment horizontal="right" vertical="center" wrapText="1"/>
    </xf>
    <xf numFmtId="49" fontId="18" fillId="0" borderId="13" xfId="61" applyNumberFormat="1" applyFont="1" applyFill="1" applyBorder="1" applyAlignment="1">
      <alignment horizontal="center" vertical="center" shrinkToFit="1"/>
      <protection/>
    </xf>
    <xf numFmtId="3" fontId="18" fillId="0" borderId="13" xfId="45" applyNumberFormat="1" applyFont="1" applyFill="1" applyBorder="1" applyAlignment="1">
      <alignment horizontal="right" vertical="center" shrinkToFit="1"/>
    </xf>
    <xf numFmtId="0" fontId="18" fillId="0" borderId="13" xfId="61" applyFont="1" applyBorder="1">
      <alignment/>
      <protection/>
    </xf>
    <xf numFmtId="49" fontId="20" fillId="0" borderId="13" xfId="0" applyNumberFormat="1" applyFont="1" applyBorder="1" applyAlignment="1">
      <alignment horizontal="center" vertical="center" wrapText="1"/>
    </xf>
    <xf numFmtId="0" fontId="18" fillId="24" borderId="21" xfId="61" applyFont="1" applyFill="1" applyBorder="1" applyAlignment="1">
      <alignment horizontal="center" vertical="center" shrinkToFit="1"/>
      <protection/>
    </xf>
    <xf numFmtId="0" fontId="36" fillId="0" borderId="21" xfId="0" applyFont="1" applyBorder="1" applyAlignment="1">
      <alignment/>
    </xf>
    <xf numFmtId="225" fontId="18" fillId="0" borderId="21" xfId="61" applyNumberFormat="1" applyFont="1" applyBorder="1" applyAlignment="1">
      <alignment horizontal="right" vertical="center" shrinkToFit="1"/>
      <protection/>
    </xf>
    <xf numFmtId="0" fontId="18" fillId="0" borderId="21" xfId="0" applyFont="1" applyBorder="1" applyAlignment="1">
      <alignment horizontal="center" vertical="center" wrapText="1"/>
    </xf>
    <xf numFmtId="2" fontId="36" fillId="0" borderId="21" xfId="0" applyNumberFormat="1" applyFont="1" applyBorder="1" applyAlignment="1">
      <alignment horizontal="right"/>
    </xf>
    <xf numFmtId="4" fontId="18" fillId="0" borderId="21" xfId="61" applyNumberFormat="1" applyFont="1" applyBorder="1" applyAlignment="1">
      <alignment horizontal="right" vertical="center" shrinkToFit="1"/>
      <protection/>
    </xf>
    <xf numFmtId="2" fontId="18" fillId="0" borderId="21" xfId="0" applyNumberFormat="1" applyFont="1" applyBorder="1" applyAlignment="1">
      <alignment/>
    </xf>
    <xf numFmtId="222" fontId="18" fillId="0" borderId="21" xfId="0" applyNumberFormat="1" applyFont="1" applyBorder="1" applyAlignment="1">
      <alignment horizontal="center" vertical="center" wrapText="1"/>
    </xf>
    <xf numFmtId="222" fontId="18" fillId="0" borderId="21" xfId="0" applyNumberFormat="1" applyFont="1" applyBorder="1" applyAlignment="1">
      <alignment horizontal="right" vertical="center" wrapText="1"/>
    </xf>
    <xf numFmtId="49" fontId="18" fillId="0" borderId="21" xfId="61" applyNumberFormat="1" applyFont="1" applyFill="1" applyBorder="1" applyAlignment="1">
      <alignment horizontal="center" vertical="center" shrinkToFit="1"/>
      <protection/>
    </xf>
    <xf numFmtId="3" fontId="18" fillId="0" borderId="21" xfId="45" applyNumberFormat="1" applyFont="1" applyFill="1" applyBorder="1" applyAlignment="1">
      <alignment horizontal="right" vertical="center" shrinkToFit="1"/>
    </xf>
    <xf numFmtId="0" fontId="18" fillId="0" borderId="21" xfId="61" applyFont="1" applyBorder="1">
      <alignment/>
      <protection/>
    </xf>
    <xf numFmtId="49" fontId="20" fillId="0" borderId="21" xfId="0" applyNumberFormat="1" applyFont="1" applyBorder="1" applyAlignment="1">
      <alignment horizontal="center" vertical="center" wrapText="1"/>
    </xf>
    <xf numFmtId="0" fontId="36" fillId="0" borderId="21" xfId="0" applyFont="1" applyBorder="1" applyAlignment="1">
      <alignment horizontal="left"/>
    </xf>
    <xf numFmtId="222" fontId="36" fillId="0" borderId="21" xfId="0" applyNumberFormat="1" applyFont="1" applyBorder="1" applyAlignment="1">
      <alignment horizontal="right"/>
    </xf>
    <xf numFmtId="0" fontId="18" fillId="24" borderId="15" xfId="61" applyFont="1" applyFill="1" applyBorder="1" applyAlignment="1">
      <alignment horizontal="center" vertical="center" shrinkToFit="1"/>
      <protection/>
    </xf>
    <xf numFmtId="225" fontId="18" fillId="0" borderId="15" xfId="61" applyNumberFormat="1" applyFont="1" applyBorder="1" applyAlignment="1">
      <alignment horizontal="right" vertical="center" shrinkToFit="1"/>
      <protection/>
    </xf>
    <xf numFmtId="2" fontId="18" fillId="0" borderId="15" xfId="0" applyNumberFormat="1" applyFont="1" applyBorder="1" applyAlignment="1">
      <alignment/>
    </xf>
    <xf numFmtId="4" fontId="18" fillId="0" borderId="15" xfId="61" applyNumberFormat="1" applyFont="1" applyBorder="1" applyAlignment="1">
      <alignment horizontal="right" vertical="center" shrinkToFit="1"/>
      <protection/>
    </xf>
    <xf numFmtId="222" fontId="18" fillId="0" borderId="15" xfId="0" applyNumberFormat="1" applyFont="1" applyBorder="1" applyAlignment="1">
      <alignment horizontal="right" vertical="center" wrapText="1"/>
    </xf>
    <xf numFmtId="49" fontId="18" fillId="0" borderId="15" xfId="61" applyNumberFormat="1" applyFont="1" applyFill="1" applyBorder="1" applyAlignment="1">
      <alignment horizontal="center" vertical="center" shrinkToFit="1"/>
      <protection/>
    </xf>
    <xf numFmtId="3" fontId="18" fillId="0" borderId="15" xfId="45" applyNumberFormat="1" applyFont="1" applyFill="1" applyBorder="1" applyAlignment="1">
      <alignment horizontal="right" vertical="center" shrinkToFit="1"/>
    </xf>
    <xf numFmtId="0" fontId="57" fillId="0" borderId="10" xfId="61" applyNumberFormat="1" applyFont="1" applyBorder="1" applyAlignment="1">
      <alignment horizontal="right" vertical="center"/>
      <protection/>
    </xf>
    <xf numFmtId="0" fontId="11" fillId="0" borderId="10" xfId="61" applyNumberFormat="1" applyFont="1" applyBorder="1" applyAlignment="1">
      <alignment horizontal="center"/>
      <protection/>
    </xf>
    <xf numFmtId="227" fontId="18" fillId="0" borderId="10" xfId="61" applyNumberFormat="1" applyFont="1" applyBorder="1" applyAlignment="1">
      <alignment horizontal="right" vertical="center" shrinkToFit="1"/>
      <protection/>
    </xf>
    <xf numFmtId="0" fontId="57" fillId="0" borderId="10" xfId="61" applyNumberFormat="1" applyFont="1" applyFill="1" applyBorder="1" applyAlignment="1">
      <alignment/>
      <protection/>
    </xf>
    <xf numFmtId="227" fontId="57" fillId="0" borderId="10" xfId="61" applyNumberFormat="1" applyFont="1" applyBorder="1">
      <alignment/>
      <protection/>
    </xf>
    <xf numFmtId="0" fontId="57" fillId="0" borderId="10" xfId="61" applyNumberFormat="1" applyFont="1" applyBorder="1">
      <alignment/>
      <protection/>
    </xf>
    <xf numFmtId="225" fontId="18" fillId="0" borderId="10" xfId="45" applyNumberFormat="1" applyFont="1" applyFill="1" applyBorder="1" applyAlignment="1">
      <alignment horizontal="right" vertical="center" shrinkToFit="1"/>
    </xf>
    <xf numFmtId="0" fontId="0" fillId="0" borderId="10" xfId="0" applyBorder="1" applyAlignment="1">
      <alignment/>
    </xf>
    <xf numFmtId="2" fontId="18" fillId="0" borderId="12" xfId="0" applyNumberFormat="1" applyFont="1" applyBorder="1" applyAlignment="1">
      <alignment/>
    </xf>
    <xf numFmtId="4" fontId="18" fillId="0" borderId="12" xfId="61" applyNumberFormat="1" applyFont="1" applyBorder="1" applyAlignment="1">
      <alignment horizontal="right" vertical="center" shrinkToFit="1"/>
      <protection/>
    </xf>
    <xf numFmtId="0" fontId="18" fillId="0" borderId="12" xfId="0" applyFont="1" applyBorder="1" applyAlignment="1">
      <alignment horizontal="center" vertical="center" wrapText="1"/>
    </xf>
    <xf numFmtId="226" fontId="18" fillId="0" borderId="12" xfId="61" applyNumberFormat="1" applyFont="1" applyBorder="1" applyAlignment="1">
      <alignment horizontal="right" vertical="center" shrinkToFit="1"/>
      <protection/>
    </xf>
    <xf numFmtId="0" fontId="18" fillId="0" borderId="12" xfId="0" applyFont="1" applyBorder="1" applyAlignment="1">
      <alignment horizontal="right"/>
    </xf>
    <xf numFmtId="222" fontId="18" fillId="0" borderId="12" xfId="0" applyNumberFormat="1" applyFont="1" applyBorder="1" applyAlignment="1">
      <alignment horizontal="center" vertical="center" wrapText="1"/>
    </xf>
    <xf numFmtId="222" fontId="18" fillId="0" borderId="12" xfId="0" applyNumberFormat="1" applyFont="1" applyBorder="1" applyAlignment="1">
      <alignment horizontal="right" vertical="center" wrapText="1"/>
    </xf>
    <xf numFmtId="49" fontId="18" fillId="0" borderId="12" xfId="61" applyNumberFormat="1" applyFont="1" applyFill="1" applyBorder="1" applyAlignment="1">
      <alignment horizontal="center" vertical="center" shrinkToFit="1"/>
      <protection/>
    </xf>
    <xf numFmtId="3" fontId="18" fillId="0" borderId="12" xfId="45" applyNumberFormat="1" applyFont="1" applyFill="1" applyBorder="1" applyAlignment="1">
      <alignment horizontal="right" vertical="center" shrinkToFit="1"/>
    </xf>
    <xf numFmtId="2" fontId="36" fillId="0" borderId="15" xfId="0" applyNumberFormat="1" applyFont="1" applyBorder="1" applyAlignment="1">
      <alignment horizontal="right"/>
    </xf>
    <xf numFmtId="222" fontId="18" fillId="0" borderId="15" xfId="0" applyNumberFormat="1" applyFont="1" applyBorder="1" applyAlignment="1">
      <alignment horizontal="center" vertical="center" wrapText="1"/>
    </xf>
    <xf numFmtId="0" fontId="94" fillId="0" borderId="10" xfId="61" applyNumberFormat="1" applyFont="1" applyBorder="1" applyAlignment="1">
      <alignment horizontal="right" vertical="center"/>
      <protection/>
    </xf>
    <xf numFmtId="0" fontId="94" fillId="0" borderId="10" xfId="61" applyNumberFormat="1" applyFont="1" applyBorder="1" applyAlignment="1">
      <alignment horizontal="center"/>
      <protection/>
    </xf>
    <xf numFmtId="226" fontId="92" fillId="0" borderId="10" xfId="61" applyNumberFormat="1" applyFont="1" applyBorder="1" applyAlignment="1">
      <alignment horizontal="right" vertical="center" shrinkToFit="1"/>
      <protection/>
    </xf>
    <xf numFmtId="226" fontId="18" fillId="0" borderId="10" xfId="61" applyNumberFormat="1" applyFont="1" applyBorder="1" applyAlignment="1">
      <alignment horizontal="right" vertical="center" shrinkToFit="1"/>
      <protection/>
    </xf>
    <xf numFmtId="226" fontId="18" fillId="0" borderId="10" xfId="45" applyNumberFormat="1" applyFont="1" applyFill="1" applyBorder="1" applyAlignment="1">
      <alignment horizontal="right" vertical="center" shrinkToFit="1"/>
    </xf>
    <xf numFmtId="44" fontId="20" fillId="24" borderId="1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24" borderId="14" xfId="0" applyFont="1" applyFill="1" applyBorder="1" applyAlignment="1">
      <alignment horizontal="center" vertical="center"/>
    </xf>
    <xf numFmtId="219" fontId="27" fillId="24" borderId="22" xfId="42" applyNumberFormat="1" applyFont="1" applyFill="1" applyBorder="1" applyAlignment="1">
      <alignment horizontal="center"/>
    </xf>
    <xf numFmtId="219" fontId="27" fillId="24" borderId="23" xfId="42" applyNumberFormat="1" applyFont="1" applyFill="1" applyBorder="1" applyAlignment="1">
      <alignment horizontal="center"/>
    </xf>
    <xf numFmtId="0" fontId="25" fillId="24" borderId="0" xfId="0" applyFont="1" applyFill="1" applyAlignment="1">
      <alignment horizontal="center"/>
    </xf>
    <xf numFmtId="0" fontId="32" fillId="24" borderId="0" xfId="0" applyFont="1" applyFill="1" applyAlignment="1">
      <alignment horizontal="center"/>
    </xf>
    <xf numFmtId="0" fontId="14" fillId="24" borderId="11" xfId="0" applyFont="1" applyFill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219" fontId="27" fillId="0" borderId="18" xfId="42" applyNumberFormat="1" applyFont="1" applyBorder="1" applyAlignment="1">
      <alignment horizontal="center"/>
    </xf>
    <xf numFmtId="219" fontId="27" fillId="0" borderId="19" xfId="42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17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3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0" xfId="0" applyFont="1" applyBorder="1" applyAlignment="1">
      <alignment horizontal="left"/>
    </xf>
    <xf numFmtId="0" fontId="57" fillId="0" borderId="10" xfId="0" applyNumberFormat="1" applyFont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94" fillId="0" borderId="18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4" fillId="0" borderId="12" xfId="0" applyNumberFormat="1" applyFont="1" applyBorder="1" applyAlignment="1">
      <alignment horizontal="center" vertical="center" wrapText="1"/>
    </xf>
    <xf numFmtId="0" fontId="94" fillId="0" borderId="24" xfId="0" applyNumberFormat="1" applyFont="1" applyBorder="1" applyAlignment="1">
      <alignment horizontal="center" vertical="center" wrapText="1"/>
    </xf>
    <xf numFmtId="0" fontId="94" fillId="0" borderId="14" xfId="0" applyNumberFormat="1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/>
    </xf>
    <xf numFmtId="0" fontId="94" fillId="0" borderId="10" xfId="0" applyNumberFormat="1" applyFont="1" applyFill="1" applyBorder="1" applyAlignment="1">
      <alignment horizontal="center" vertical="center" wrapText="1"/>
    </xf>
    <xf numFmtId="0" fontId="57" fillId="0" borderId="12" xfId="0" applyNumberFormat="1" applyFont="1" applyBorder="1" applyAlignment="1">
      <alignment horizontal="center" vertical="center" wrapText="1"/>
    </xf>
    <xf numFmtId="0" fontId="57" fillId="0" borderId="14" xfId="0" applyNumberFormat="1" applyFont="1" applyBorder="1" applyAlignment="1">
      <alignment horizontal="center" vertical="center" wrapText="1"/>
    </xf>
    <xf numFmtId="0" fontId="90" fillId="0" borderId="0" xfId="0" applyFont="1" applyAlignment="1">
      <alignment horizontal="center"/>
    </xf>
    <xf numFmtId="0" fontId="94" fillId="0" borderId="10" xfId="0" applyNumberFormat="1" applyFont="1" applyBorder="1" applyAlignment="1">
      <alignment horizontal="center" vertical="center" wrapText="1"/>
    </xf>
    <xf numFmtId="0" fontId="94" fillId="0" borderId="18" xfId="0" applyNumberFormat="1" applyFont="1" applyBorder="1" applyAlignment="1">
      <alignment horizontal="center" vertical="center" wrapText="1"/>
    </xf>
    <xf numFmtId="0" fontId="94" fillId="0" borderId="20" xfId="0" applyNumberFormat="1" applyFont="1" applyBorder="1" applyAlignment="1">
      <alignment horizontal="center" vertical="center" wrapText="1"/>
    </xf>
    <xf numFmtId="0" fontId="94" fillId="0" borderId="19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/>
    </xf>
    <xf numFmtId="0" fontId="90" fillId="0" borderId="0" xfId="0" applyNumberFormat="1" applyFont="1" applyAlignment="1">
      <alignment horizontal="center" wrapText="1"/>
    </xf>
    <xf numFmtId="0" fontId="57" fillId="0" borderId="24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94" fillId="0" borderId="12" xfId="0" applyNumberFormat="1" applyFont="1" applyFill="1" applyBorder="1" applyAlignment="1">
      <alignment horizontal="center" vertical="center" wrapText="1"/>
    </xf>
    <xf numFmtId="0" fontId="94" fillId="0" borderId="24" xfId="0" applyNumberFormat="1" applyFont="1" applyFill="1" applyBorder="1" applyAlignment="1">
      <alignment horizontal="center" vertical="center" wrapText="1"/>
    </xf>
    <xf numFmtId="0" fontId="94" fillId="0" borderId="14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5" fillId="0" borderId="12" xfId="0" applyNumberFormat="1" applyFont="1" applyBorder="1" applyAlignment="1">
      <alignment horizontal="center" vertical="center" wrapText="1"/>
    </xf>
    <xf numFmtId="0" fontId="95" fillId="0" borderId="24" xfId="0" applyNumberFormat="1" applyFont="1" applyBorder="1" applyAlignment="1">
      <alignment horizontal="center" vertical="center" wrapText="1"/>
    </xf>
    <xf numFmtId="0" fontId="95" fillId="0" borderId="14" xfId="0" applyNumberFormat="1" applyFont="1" applyBorder="1" applyAlignment="1">
      <alignment horizontal="center" vertical="center" wrapText="1"/>
    </xf>
    <xf numFmtId="0" fontId="57" fillId="0" borderId="18" xfId="0" applyNumberFormat="1" applyFont="1" applyBorder="1" applyAlignment="1">
      <alignment horizontal="center" vertical="center" wrapText="1"/>
    </xf>
    <xf numFmtId="0" fontId="57" fillId="0" borderId="19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Mau truy lanh Phu cap tham nien 2011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1- PHU CAP UU DAI TUNG THANG 2008 2" xfId="60"/>
    <cellStyle name="Normal_Mau Dang ky luong Qui  nam 201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tabSelected="1" zoomScalePageLayoutView="0" workbookViewId="0" topLeftCell="A1">
      <selection activeCell="F62" sqref="F62"/>
    </sheetView>
  </sheetViews>
  <sheetFormatPr defaultColWidth="9.00390625" defaultRowHeight="15.75"/>
  <cols>
    <col min="1" max="1" width="3.125" style="7" customWidth="1"/>
    <col min="2" max="2" width="15.625" style="7" customWidth="1"/>
    <col min="3" max="3" width="10.50390625" style="7" hidden="1" customWidth="1"/>
    <col min="4" max="4" width="6.50390625" style="7" customWidth="1"/>
    <col min="5" max="5" width="9.125" style="7" customWidth="1"/>
    <col min="6" max="6" width="6.50390625" style="7" customWidth="1"/>
    <col min="7" max="7" width="7.625" style="7" customWidth="1"/>
    <col min="8" max="8" width="6.00390625" style="7" customWidth="1"/>
    <col min="9" max="9" width="7.875" style="7" customWidth="1"/>
    <col min="10" max="10" width="10.25390625" style="7" customWidth="1"/>
    <col min="11" max="11" width="9.00390625" style="7" customWidth="1"/>
    <col min="12" max="12" width="8.125" style="7" hidden="1" customWidth="1"/>
    <col min="13" max="13" width="7.125" style="7" customWidth="1"/>
    <col min="14" max="14" width="4.00390625" style="7" customWidth="1"/>
    <col min="15" max="15" width="8.375" style="7" customWidth="1"/>
    <col min="16" max="17" width="9.50390625" style="7" customWidth="1"/>
    <col min="18" max="18" width="8.50390625" style="7" customWidth="1"/>
    <col min="19" max="19" width="9.125" style="7" customWidth="1"/>
    <col min="20" max="20" width="7.375" style="7" customWidth="1"/>
    <col min="21" max="21" width="6.75390625" style="7" customWidth="1"/>
    <col min="22" max="22" width="8.375" style="12" customWidth="1"/>
    <col min="23" max="23" width="7.625" style="7" customWidth="1"/>
    <col min="24" max="24" width="5.625" style="7" hidden="1" customWidth="1"/>
    <col min="25" max="25" width="7.75390625" style="7" hidden="1" customWidth="1"/>
    <col min="26" max="26" width="10.875" style="7" customWidth="1"/>
    <col min="27" max="27" width="5.00390625" style="7" customWidth="1"/>
    <col min="28" max="28" width="13.00390625" style="19" customWidth="1"/>
    <col min="29" max="29" width="9.50390625" style="7" customWidth="1"/>
    <col min="30" max="30" width="20.50390625" style="7" customWidth="1"/>
    <col min="31" max="16384" width="9.00390625" style="7" customWidth="1"/>
  </cols>
  <sheetData>
    <row r="1" spans="1:30" ht="20.25">
      <c r="A1" s="6" t="s">
        <v>69</v>
      </c>
      <c r="B1" s="6"/>
      <c r="C1" s="6"/>
      <c r="D1" s="6"/>
      <c r="I1" s="420" t="s">
        <v>70</v>
      </c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8"/>
      <c r="AC1" s="9"/>
      <c r="AD1" s="9"/>
    </row>
    <row r="2" spans="1:35" ht="18.75">
      <c r="A2" s="6" t="s">
        <v>71</v>
      </c>
      <c r="B2" s="6"/>
      <c r="C2" s="6"/>
      <c r="D2" s="6"/>
      <c r="I2" s="421" t="s">
        <v>188</v>
      </c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10"/>
      <c r="AC2" s="11"/>
      <c r="AD2" s="11"/>
      <c r="AE2" s="11"/>
      <c r="AF2" s="11"/>
      <c r="AG2" s="11"/>
      <c r="AH2" s="11"/>
      <c r="AI2" s="11"/>
    </row>
    <row r="3" spans="1:28" ht="15.75">
      <c r="A3" s="6" t="s">
        <v>72</v>
      </c>
      <c r="Z3" s="13"/>
      <c r="AA3" s="13"/>
      <c r="AB3" s="14"/>
    </row>
    <row r="4" spans="1:28" ht="12" customHeight="1">
      <c r="A4" s="6"/>
      <c r="AB4" s="15"/>
    </row>
    <row r="5" spans="1:28" s="6" customFormat="1" ht="21" customHeight="1">
      <c r="A5" s="422" t="s">
        <v>73</v>
      </c>
      <c r="B5" s="423" t="s">
        <v>74</v>
      </c>
      <c r="C5" s="423" t="s">
        <v>75</v>
      </c>
      <c r="D5" s="366" t="s">
        <v>77</v>
      </c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55" t="s">
        <v>76</v>
      </c>
      <c r="R5" s="366" t="s">
        <v>77</v>
      </c>
      <c r="S5" s="366"/>
      <c r="T5" s="366"/>
      <c r="U5" s="366"/>
      <c r="V5" s="366"/>
      <c r="W5" s="366"/>
      <c r="X5" s="16"/>
      <c r="Y5" s="322" t="s">
        <v>78</v>
      </c>
      <c r="Z5" s="419" t="s">
        <v>16</v>
      </c>
      <c r="AA5" s="305" t="s">
        <v>79</v>
      </c>
      <c r="AB5" s="17"/>
    </row>
    <row r="6" spans="1:27" ht="43.5" customHeight="1">
      <c r="A6" s="422"/>
      <c r="B6" s="423"/>
      <c r="C6" s="423"/>
      <c r="D6" s="419" t="s">
        <v>80</v>
      </c>
      <c r="E6" s="419"/>
      <c r="F6" s="18"/>
      <c r="G6" s="18"/>
      <c r="H6" s="419" t="s">
        <v>81</v>
      </c>
      <c r="I6" s="419"/>
      <c r="J6" s="419" t="s">
        <v>82</v>
      </c>
      <c r="K6" s="419" t="s">
        <v>83</v>
      </c>
      <c r="L6" s="18"/>
      <c r="M6" s="419" t="s">
        <v>84</v>
      </c>
      <c r="N6" s="419" t="s">
        <v>85</v>
      </c>
      <c r="O6" s="419"/>
      <c r="P6" s="419"/>
      <c r="Q6" s="355"/>
      <c r="R6" s="419" t="s">
        <v>86</v>
      </c>
      <c r="S6" s="419" t="s">
        <v>87</v>
      </c>
      <c r="T6" s="419" t="s">
        <v>88</v>
      </c>
      <c r="U6" s="419" t="s">
        <v>89</v>
      </c>
      <c r="V6" s="325" t="s">
        <v>90</v>
      </c>
      <c r="W6" s="419" t="s">
        <v>91</v>
      </c>
      <c r="X6" s="419" t="s">
        <v>92</v>
      </c>
      <c r="Y6" s="322"/>
      <c r="Z6" s="419"/>
      <c r="AA6" s="305"/>
    </row>
    <row r="7" spans="1:27" ht="53.25" customHeight="1">
      <c r="A7" s="422"/>
      <c r="B7" s="423"/>
      <c r="C7" s="423"/>
      <c r="D7" s="20" t="s">
        <v>93</v>
      </c>
      <c r="E7" s="18" t="s">
        <v>94</v>
      </c>
      <c r="F7" s="18" t="s">
        <v>95</v>
      </c>
      <c r="G7" s="21" t="s">
        <v>94</v>
      </c>
      <c r="H7" s="22" t="s">
        <v>96</v>
      </c>
      <c r="I7" s="21" t="s">
        <v>94</v>
      </c>
      <c r="J7" s="323"/>
      <c r="K7" s="419"/>
      <c r="L7" s="23"/>
      <c r="M7" s="419"/>
      <c r="N7" s="18" t="s">
        <v>97</v>
      </c>
      <c r="O7" s="18" t="s">
        <v>98</v>
      </c>
      <c r="P7" s="18" t="s">
        <v>94</v>
      </c>
      <c r="Q7" s="355"/>
      <c r="R7" s="323"/>
      <c r="S7" s="419"/>
      <c r="T7" s="419"/>
      <c r="U7" s="419"/>
      <c r="V7" s="325"/>
      <c r="W7" s="419"/>
      <c r="X7" s="419"/>
      <c r="Y7" s="322"/>
      <c r="Z7" s="419"/>
      <c r="AA7" s="305"/>
    </row>
    <row r="8" spans="1:28" ht="15.75">
      <c r="A8" s="24" t="s">
        <v>99</v>
      </c>
      <c r="B8" s="16" t="s">
        <v>100</v>
      </c>
      <c r="C8" s="16" t="s">
        <v>101</v>
      </c>
      <c r="D8" s="16" t="s">
        <v>102</v>
      </c>
      <c r="E8" s="18">
        <v>1</v>
      </c>
      <c r="F8" s="18">
        <v>2</v>
      </c>
      <c r="G8" s="18">
        <v>3</v>
      </c>
      <c r="H8" s="25">
        <v>4</v>
      </c>
      <c r="I8" s="18">
        <v>5</v>
      </c>
      <c r="J8" s="18">
        <v>6</v>
      </c>
      <c r="K8" s="18"/>
      <c r="L8" s="18"/>
      <c r="M8" s="18">
        <v>7</v>
      </c>
      <c r="N8" s="18">
        <v>8</v>
      </c>
      <c r="O8" s="18">
        <v>9</v>
      </c>
      <c r="P8" s="18">
        <v>10</v>
      </c>
      <c r="Q8" s="18"/>
      <c r="R8" s="18">
        <v>11</v>
      </c>
      <c r="S8" s="18">
        <v>12</v>
      </c>
      <c r="T8" s="18"/>
      <c r="U8" s="18">
        <v>13</v>
      </c>
      <c r="V8" s="26">
        <v>14</v>
      </c>
      <c r="W8" s="18">
        <v>15</v>
      </c>
      <c r="X8" s="18">
        <v>16</v>
      </c>
      <c r="Y8" s="18"/>
      <c r="Z8" s="18">
        <v>18</v>
      </c>
      <c r="AA8" s="27"/>
      <c r="AB8" s="19" t="s">
        <v>103</v>
      </c>
    </row>
    <row r="9" spans="1:29" s="41" customFormat="1" ht="12.75">
      <c r="A9" s="28" t="s">
        <v>20</v>
      </c>
      <c r="B9" s="29" t="s">
        <v>2</v>
      </c>
      <c r="C9" s="30" t="s">
        <v>104</v>
      </c>
      <c r="D9" s="31">
        <v>4.65</v>
      </c>
      <c r="E9" s="32">
        <f>(D9*1390000*90.5%)</f>
        <v>5849467.500000001</v>
      </c>
      <c r="F9" s="32"/>
      <c r="G9" s="32">
        <f>F9*1390000*90.5%</f>
        <v>0</v>
      </c>
      <c r="H9" s="33">
        <v>0.5</v>
      </c>
      <c r="I9" s="32">
        <f>(H9*1390000*90.5%)</f>
        <v>628975</v>
      </c>
      <c r="J9" s="32">
        <f>(D9+F9+H9)*1390000*35%</f>
        <v>2505475</v>
      </c>
      <c r="K9" s="32">
        <f>0.1*1390000</f>
        <v>139000</v>
      </c>
      <c r="L9" s="32"/>
      <c r="M9" s="32"/>
      <c r="N9" s="34">
        <v>0.26</v>
      </c>
      <c r="O9" s="35">
        <f aca="true" t="shared" si="0" ref="O9:O57">+(D9+H9+F9)*N9</f>
        <v>1.3390000000000002</v>
      </c>
      <c r="P9" s="32">
        <f>O9*1390000*90.5%</f>
        <v>1684395.0500000003</v>
      </c>
      <c r="Q9" s="32"/>
      <c r="R9" s="32">
        <f>(D9+F9+H9)*1390000*15%</f>
        <v>1073775</v>
      </c>
      <c r="S9" s="32"/>
      <c r="T9" s="32"/>
      <c r="U9" s="32"/>
      <c r="V9" s="36"/>
      <c r="W9" s="32"/>
      <c r="X9" s="32"/>
      <c r="Y9" s="32"/>
      <c r="Z9" s="37">
        <f aca="true" t="shared" si="1" ref="Z9:Z37">E9+G9+I9+J9+K9+M9+P9+R9+S9+U9+V9+W9+T9</f>
        <v>11881087.55</v>
      </c>
      <c r="AA9" s="38"/>
      <c r="AB9" s="39">
        <f aca="true" t="shared" si="2" ref="AB9:AB40">((O9+H9+D9)*1390000*1%)</f>
        <v>90197.10000000002</v>
      </c>
      <c r="AC9" s="40"/>
    </row>
    <row r="10" spans="1:29" s="41" customFormat="1" ht="16.5" customHeight="1">
      <c r="A10" s="28" t="s">
        <v>21</v>
      </c>
      <c r="B10" s="42" t="s">
        <v>105</v>
      </c>
      <c r="C10" s="30" t="s">
        <v>106</v>
      </c>
      <c r="D10" s="43">
        <v>4.32</v>
      </c>
      <c r="E10" s="32">
        <f>(D10*1390000*89.5%)</f>
        <v>5374296</v>
      </c>
      <c r="F10" s="44"/>
      <c r="G10" s="32">
        <f>F10*1390000*89.5%</f>
        <v>0</v>
      </c>
      <c r="H10" s="45">
        <v>0.4</v>
      </c>
      <c r="I10" s="32">
        <f>(H10*1390000*89.5%)</f>
        <v>497620</v>
      </c>
      <c r="J10" s="32">
        <f aca="true" t="shared" si="3" ref="J10:J53">(D10+F10+H10)*1390000*35%</f>
        <v>2296280</v>
      </c>
      <c r="K10" s="32">
        <f aca="true" t="shared" si="4" ref="K10:K57">0.1*1390000</f>
        <v>139000</v>
      </c>
      <c r="L10" s="32"/>
      <c r="M10" s="32"/>
      <c r="N10" s="34">
        <v>0.23</v>
      </c>
      <c r="O10" s="35">
        <f t="shared" si="0"/>
        <v>1.0856000000000001</v>
      </c>
      <c r="P10" s="32">
        <f>O10*1390000*89.5%</f>
        <v>1350540.6800000002</v>
      </c>
      <c r="Q10" s="32"/>
      <c r="R10" s="32">
        <f aca="true" t="shared" si="5" ref="R10:R53">(D10+F10+H10)*1390000*15%</f>
        <v>984120.0000000001</v>
      </c>
      <c r="S10" s="32"/>
      <c r="T10" s="32"/>
      <c r="U10" s="32"/>
      <c r="V10" s="36"/>
      <c r="W10" s="32"/>
      <c r="X10" s="32"/>
      <c r="Y10" s="32"/>
      <c r="Z10" s="37">
        <f t="shared" si="1"/>
        <v>10641856.68</v>
      </c>
      <c r="AA10" s="38"/>
      <c r="AB10" s="39">
        <f t="shared" si="2"/>
        <v>80697.84</v>
      </c>
      <c r="AC10" s="40"/>
    </row>
    <row r="11" spans="1:29" s="41" customFormat="1" ht="16.5" customHeight="1">
      <c r="A11" s="28" t="s">
        <v>22</v>
      </c>
      <c r="B11" s="42" t="s">
        <v>107</v>
      </c>
      <c r="C11" s="30" t="s">
        <v>108</v>
      </c>
      <c r="D11" s="43">
        <v>4.65</v>
      </c>
      <c r="E11" s="32">
        <f aca="true" t="shared" si="6" ref="E11:E57">(D11*1390000*89.5%)</f>
        <v>5784832.500000001</v>
      </c>
      <c r="F11" s="44"/>
      <c r="G11" s="32">
        <f aca="true" t="shared" si="7" ref="G11:G57">F11*1390000*89.5%</f>
        <v>0</v>
      </c>
      <c r="H11" s="45">
        <v>0.4</v>
      </c>
      <c r="I11" s="32">
        <f aca="true" t="shared" si="8" ref="I11:I57">(H11*1390000*89.5%)</f>
        <v>497620</v>
      </c>
      <c r="J11" s="32">
        <f t="shared" si="3"/>
        <v>2456825</v>
      </c>
      <c r="K11" s="32">
        <f t="shared" si="4"/>
        <v>139000</v>
      </c>
      <c r="L11" s="32"/>
      <c r="M11" s="32"/>
      <c r="N11" s="34">
        <v>0.27</v>
      </c>
      <c r="O11" s="35">
        <f t="shared" si="0"/>
        <v>1.3635000000000004</v>
      </c>
      <c r="P11" s="32">
        <f aca="true" t="shared" si="9" ref="P11:P57">O11*1390000*89.5%</f>
        <v>1696262.1750000005</v>
      </c>
      <c r="Q11" s="32"/>
      <c r="R11" s="32">
        <f t="shared" si="5"/>
        <v>1052925</v>
      </c>
      <c r="S11" s="32"/>
      <c r="T11" s="32"/>
      <c r="U11" s="32"/>
      <c r="V11" s="36"/>
      <c r="W11" s="32"/>
      <c r="X11" s="32"/>
      <c r="Y11" s="32"/>
      <c r="Z11" s="37">
        <f t="shared" si="1"/>
        <v>11627464.675</v>
      </c>
      <c r="AA11" s="38"/>
      <c r="AB11" s="39">
        <f t="shared" si="2"/>
        <v>89147.65000000002</v>
      </c>
      <c r="AC11" s="40"/>
    </row>
    <row r="12" spans="1:29" s="41" customFormat="1" ht="16.5" customHeight="1">
      <c r="A12" s="28" t="s">
        <v>23</v>
      </c>
      <c r="B12" s="42" t="s">
        <v>109</v>
      </c>
      <c r="C12" s="30" t="s">
        <v>110</v>
      </c>
      <c r="D12" s="46">
        <v>4.89</v>
      </c>
      <c r="E12" s="32">
        <f t="shared" si="6"/>
        <v>6083404.5</v>
      </c>
      <c r="F12" s="44"/>
      <c r="G12" s="32">
        <f t="shared" si="7"/>
        <v>0</v>
      </c>
      <c r="H12" s="45"/>
      <c r="I12" s="32">
        <f t="shared" si="8"/>
        <v>0</v>
      </c>
      <c r="J12" s="32">
        <f t="shared" si="3"/>
        <v>2378985</v>
      </c>
      <c r="K12" s="32">
        <f t="shared" si="4"/>
        <v>139000</v>
      </c>
      <c r="L12" s="32" t="e">
        <f>+J12-K12-#REF!</f>
        <v>#REF!</v>
      </c>
      <c r="M12" s="32"/>
      <c r="N12" s="34">
        <v>0.31</v>
      </c>
      <c r="O12" s="35">
        <f t="shared" si="0"/>
        <v>1.5158999999999998</v>
      </c>
      <c r="P12" s="32">
        <f t="shared" si="9"/>
        <v>1885855.3949999996</v>
      </c>
      <c r="Q12" s="32"/>
      <c r="R12" s="32">
        <f t="shared" si="5"/>
        <v>1019565</v>
      </c>
      <c r="S12" s="32"/>
      <c r="T12" s="32"/>
      <c r="U12" s="32"/>
      <c r="V12" s="36"/>
      <c r="W12" s="32"/>
      <c r="X12" s="32"/>
      <c r="Y12" s="32"/>
      <c r="Z12" s="37">
        <f t="shared" si="1"/>
        <v>11506809.895</v>
      </c>
      <c r="AA12" s="38"/>
      <c r="AB12" s="39">
        <f t="shared" si="2"/>
        <v>89042.00999999998</v>
      </c>
      <c r="AC12" s="40"/>
    </row>
    <row r="13" spans="1:29" s="41" customFormat="1" ht="16.5" customHeight="1">
      <c r="A13" s="28" t="s">
        <v>24</v>
      </c>
      <c r="B13" s="42" t="s">
        <v>5</v>
      </c>
      <c r="C13" s="30" t="s">
        <v>111</v>
      </c>
      <c r="D13" s="43">
        <v>4.58</v>
      </c>
      <c r="E13" s="32">
        <f t="shared" si="6"/>
        <v>5697749</v>
      </c>
      <c r="F13" s="44"/>
      <c r="G13" s="32">
        <f t="shared" si="7"/>
        <v>0</v>
      </c>
      <c r="H13" s="45"/>
      <c r="I13" s="32">
        <f t="shared" si="8"/>
        <v>0</v>
      </c>
      <c r="J13" s="32">
        <f t="shared" si="3"/>
        <v>2228170</v>
      </c>
      <c r="K13" s="32">
        <f t="shared" si="4"/>
        <v>139000</v>
      </c>
      <c r="L13" s="32" t="e">
        <f>+J13-K13-#REF!</f>
        <v>#REF!</v>
      </c>
      <c r="M13" s="32"/>
      <c r="N13" s="34">
        <v>0.3</v>
      </c>
      <c r="O13" s="35">
        <f t="shared" si="0"/>
        <v>1.3739999999999999</v>
      </c>
      <c r="P13" s="32">
        <f t="shared" si="9"/>
        <v>1709324.6999999997</v>
      </c>
      <c r="Q13" s="32"/>
      <c r="R13" s="32">
        <f t="shared" si="5"/>
        <v>954930</v>
      </c>
      <c r="S13" s="32"/>
      <c r="T13" s="32"/>
      <c r="U13" s="32"/>
      <c r="V13" s="36"/>
      <c r="W13" s="32"/>
      <c r="X13" s="32"/>
      <c r="Y13" s="32"/>
      <c r="Z13" s="37">
        <f t="shared" si="1"/>
        <v>10729173.7</v>
      </c>
      <c r="AA13" s="38"/>
      <c r="AB13" s="39">
        <f t="shared" si="2"/>
        <v>82760.6</v>
      </c>
      <c r="AC13" s="40"/>
    </row>
    <row r="14" spans="1:29" s="41" customFormat="1" ht="16.5" customHeight="1">
      <c r="A14" s="28" t="s">
        <v>25</v>
      </c>
      <c r="B14" s="42" t="s">
        <v>112</v>
      </c>
      <c r="C14" s="30" t="s">
        <v>113</v>
      </c>
      <c r="D14" s="46">
        <v>4.98</v>
      </c>
      <c r="E14" s="32">
        <f t="shared" si="6"/>
        <v>6195369.000000001</v>
      </c>
      <c r="F14" s="47"/>
      <c r="G14" s="32">
        <f t="shared" si="7"/>
        <v>0</v>
      </c>
      <c r="H14" s="48"/>
      <c r="I14" s="32">
        <f t="shared" si="8"/>
        <v>0</v>
      </c>
      <c r="J14" s="32">
        <f t="shared" si="3"/>
        <v>2422770</v>
      </c>
      <c r="K14" s="32">
        <f t="shared" si="4"/>
        <v>139000</v>
      </c>
      <c r="L14" s="32" t="e">
        <f>+J14-K14-#REF!</f>
        <v>#REF!</v>
      </c>
      <c r="M14" s="32"/>
      <c r="N14" s="34">
        <v>0.31</v>
      </c>
      <c r="O14" s="35">
        <f t="shared" si="0"/>
        <v>1.5438</v>
      </c>
      <c r="P14" s="32">
        <f t="shared" si="9"/>
        <v>1920564.3900000001</v>
      </c>
      <c r="Q14" s="32"/>
      <c r="R14" s="32">
        <f t="shared" si="5"/>
        <v>1038330.0000000001</v>
      </c>
      <c r="S14" s="32"/>
      <c r="T14" s="32"/>
      <c r="U14" s="32"/>
      <c r="V14" s="36"/>
      <c r="W14" s="32"/>
      <c r="X14" s="32"/>
      <c r="Y14" s="32"/>
      <c r="Z14" s="37">
        <f t="shared" si="1"/>
        <v>11716033.39</v>
      </c>
      <c r="AA14" s="38"/>
      <c r="AB14" s="39">
        <f t="shared" si="2"/>
        <v>90680.82</v>
      </c>
      <c r="AC14" s="40"/>
    </row>
    <row r="15" spans="1:29" s="41" customFormat="1" ht="16.5" customHeight="1">
      <c r="A15" s="28" t="s">
        <v>26</v>
      </c>
      <c r="B15" s="49" t="s">
        <v>114</v>
      </c>
      <c r="C15" s="30" t="s">
        <v>115</v>
      </c>
      <c r="D15" s="46">
        <v>4.06</v>
      </c>
      <c r="E15" s="32">
        <f t="shared" si="6"/>
        <v>5050842.999999999</v>
      </c>
      <c r="F15" s="47">
        <f>D15*8%</f>
        <v>0.3248</v>
      </c>
      <c r="G15" s="32">
        <f t="shared" si="7"/>
        <v>404067.43999999994</v>
      </c>
      <c r="H15" s="48"/>
      <c r="I15" s="32">
        <f t="shared" si="8"/>
        <v>0</v>
      </c>
      <c r="J15" s="32">
        <f t="shared" si="3"/>
        <v>2133205.1999999997</v>
      </c>
      <c r="K15" s="32">
        <f t="shared" si="4"/>
        <v>139000</v>
      </c>
      <c r="L15" s="32" t="e">
        <f>+J15-K15-#REF!</f>
        <v>#REF!</v>
      </c>
      <c r="M15" s="32"/>
      <c r="N15" s="34">
        <v>0.28</v>
      </c>
      <c r="O15" s="35">
        <f t="shared" si="0"/>
        <v>1.227744</v>
      </c>
      <c r="P15" s="32">
        <f t="shared" si="9"/>
        <v>1527374.9231999998</v>
      </c>
      <c r="Q15" s="32"/>
      <c r="R15" s="32">
        <f t="shared" si="5"/>
        <v>914230.7999999998</v>
      </c>
      <c r="S15" s="32"/>
      <c r="T15" s="32"/>
      <c r="U15" s="32"/>
      <c r="V15" s="36"/>
      <c r="W15" s="32"/>
      <c r="X15" s="32"/>
      <c r="Y15" s="32"/>
      <c r="Z15" s="37">
        <f t="shared" si="1"/>
        <v>10168721.363199998</v>
      </c>
      <c r="AA15" s="38"/>
      <c r="AB15" s="39">
        <f t="shared" si="2"/>
        <v>73499.6416</v>
      </c>
      <c r="AC15" s="40"/>
    </row>
    <row r="16" spans="1:29" s="41" customFormat="1" ht="16.5" customHeight="1">
      <c r="A16" s="28" t="s">
        <v>27</v>
      </c>
      <c r="B16" s="42" t="s">
        <v>116</v>
      </c>
      <c r="C16" s="30" t="s">
        <v>117</v>
      </c>
      <c r="D16" s="46">
        <v>4.98</v>
      </c>
      <c r="E16" s="32">
        <f t="shared" si="6"/>
        <v>6195369.000000001</v>
      </c>
      <c r="F16" s="47"/>
      <c r="G16" s="32">
        <f t="shared" si="7"/>
        <v>0</v>
      </c>
      <c r="H16" s="48"/>
      <c r="I16" s="32">
        <f t="shared" si="8"/>
        <v>0</v>
      </c>
      <c r="J16" s="32">
        <f t="shared" si="3"/>
        <v>2422770</v>
      </c>
      <c r="K16" s="32">
        <f t="shared" si="4"/>
        <v>139000</v>
      </c>
      <c r="L16" s="32" t="e">
        <f>+J16-K16-#REF!</f>
        <v>#REF!</v>
      </c>
      <c r="M16" s="32"/>
      <c r="N16" s="34">
        <v>0.31</v>
      </c>
      <c r="O16" s="35">
        <f t="shared" si="0"/>
        <v>1.5438</v>
      </c>
      <c r="P16" s="32">
        <f t="shared" si="9"/>
        <v>1920564.3900000001</v>
      </c>
      <c r="Q16" s="32"/>
      <c r="R16" s="32">
        <f t="shared" si="5"/>
        <v>1038330.0000000001</v>
      </c>
      <c r="S16" s="32"/>
      <c r="T16" s="32"/>
      <c r="U16" s="32"/>
      <c r="V16" s="36"/>
      <c r="W16" s="32"/>
      <c r="X16" s="32"/>
      <c r="Y16" s="32"/>
      <c r="Z16" s="37">
        <f t="shared" si="1"/>
        <v>11716033.39</v>
      </c>
      <c r="AA16" s="38"/>
      <c r="AB16" s="39">
        <f t="shared" si="2"/>
        <v>90680.82</v>
      </c>
      <c r="AC16" s="40"/>
    </row>
    <row r="17" spans="1:29" s="41" customFormat="1" ht="16.5" customHeight="1">
      <c r="A17" s="28" t="s">
        <v>28</v>
      </c>
      <c r="B17" s="42" t="s">
        <v>118</v>
      </c>
      <c r="C17" s="30" t="s">
        <v>119</v>
      </c>
      <c r="D17" s="43">
        <v>4.58</v>
      </c>
      <c r="E17" s="32">
        <f t="shared" si="6"/>
        <v>5697749</v>
      </c>
      <c r="F17" s="44"/>
      <c r="G17" s="32">
        <f t="shared" si="7"/>
        <v>0</v>
      </c>
      <c r="H17" s="45"/>
      <c r="I17" s="32">
        <f t="shared" si="8"/>
        <v>0</v>
      </c>
      <c r="J17" s="32">
        <f t="shared" si="3"/>
        <v>2228170</v>
      </c>
      <c r="K17" s="32">
        <f t="shared" si="4"/>
        <v>139000</v>
      </c>
      <c r="L17" s="32" t="e">
        <f>+J17-K17-#REF!</f>
        <v>#REF!</v>
      </c>
      <c r="M17" s="32"/>
      <c r="N17" s="34">
        <v>0.26</v>
      </c>
      <c r="O17" s="35">
        <f t="shared" si="0"/>
        <v>1.1908</v>
      </c>
      <c r="P17" s="32">
        <f t="shared" si="9"/>
        <v>1481414.74</v>
      </c>
      <c r="Q17" s="32"/>
      <c r="R17" s="32">
        <f t="shared" si="5"/>
        <v>954930</v>
      </c>
      <c r="S17" s="32"/>
      <c r="T17" s="32"/>
      <c r="U17" s="32"/>
      <c r="V17" s="36"/>
      <c r="W17" s="32"/>
      <c r="X17" s="32"/>
      <c r="Y17" s="32"/>
      <c r="Z17" s="37">
        <f t="shared" si="1"/>
        <v>10501263.74</v>
      </c>
      <c r="AA17" s="38"/>
      <c r="AB17" s="39">
        <f t="shared" si="2"/>
        <v>80214.12000000001</v>
      </c>
      <c r="AC17" s="40"/>
    </row>
    <row r="18" spans="1:29" s="41" customFormat="1" ht="16.5" customHeight="1">
      <c r="A18" s="28" t="s">
        <v>29</v>
      </c>
      <c r="B18" s="42" t="s">
        <v>120</v>
      </c>
      <c r="C18" s="30" t="s">
        <v>121</v>
      </c>
      <c r="D18" s="43">
        <v>4.65</v>
      </c>
      <c r="E18" s="32">
        <f t="shared" si="6"/>
        <v>5784832.500000001</v>
      </c>
      <c r="F18" s="44"/>
      <c r="G18" s="32">
        <f t="shared" si="7"/>
        <v>0</v>
      </c>
      <c r="H18" s="50">
        <v>0.2</v>
      </c>
      <c r="I18" s="32">
        <f t="shared" si="8"/>
        <v>248810</v>
      </c>
      <c r="J18" s="32">
        <f t="shared" si="3"/>
        <v>2359525</v>
      </c>
      <c r="K18" s="32">
        <f t="shared" si="4"/>
        <v>139000</v>
      </c>
      <c r="L18" s="32" t="e">
        <f>+J18-K18-#REF!</f>
        <v>#REF!</v>
      </c>
      <c r="M18" s="32"/>
      <c r="N18" s="34">
        <v>0.29</v>
      </c>
      <c r="O18" s="35">
        <f t="shared" si="0"/>
        <v>1.4065</v>
      </c>
      <c r="P18" s="32">
        <f t="shared" si="9"/>
        <v>1749756.325</v>
      </c>
      <c r="Q18" s="32"/>
      <c r="R18" s="32">
        <f t="shared" si="5"/>
        <v>1011225.0000000001</v>
      </c>
      <c r="S18" s="32"/>
      <c r="T18" s="32"/>
      <c r="U18" s="32"/>
      <c r="V18" s="36"/>
      <c r="W18" s="32"/>
      <c r="X18" s="32"/>
      <c r="Y18" s="32"/>
      <c r="Z18" s="37">
        <f t="shared" si="1"/>
        <v>11293148.825</v>
      </c>
      <c r="AA18" s="38"/>
      <c r="AB18" s="39">
        <f t="shared" si="2"/>
        <v>86965.35000000002</v>
      </c>
      <c r="AC18" s="40"/>
    </row>
    <row r="19" spans="1:29" s="41" customFormat="1" ht="16.5" customHeight="1">
      <c r="A19" s="28" t="s">
        <v>30</v>
      </c>
      <c r="B19" s="42" t="s">
        <v>122</v>
      </c>
      <c r="C19" s="30" t="s">
        <v>123</v>
      </c>
      <c r="D19" s="46">
        <v>4.98</v>
      </c>
      <c r="E19" s="32">
        <f t="shared" si="6"/>
        <v>6195369.000000001</v>
      </c>
      <c r="F19" s="44"/>
      <c r="G19" s="32">
        <f t="shared" si="7"/>
        <v>0</v>
      </c>
      <c r="H19" s="50">
        <v>0.2</v>
      </c>
      <c r="I19" s="32">
        <f t="shared" si="8"/>
        <v>248810</v>
      </c>
      <c r="J19" s="32">
        <f t="shared" si="3"/>
        <v>2520070</v>
      </c>
      <c r="K19" s="32">
        <f t="shared" si="4"/>
        <v>139000</v>
      </c>
      <c r="L19" s="32" t="e">
        <f>+J19-K19-#REF!</f>
        <v>#REF!</v>
      </c>
      <c r="M19" s="32"/>
      <c r="N19" s="34">
        <v>0.27</v>
      </c>
      <c r="O19" s="35">
        <f t="shared" si="0"/>
        <v>1.3986000000000003</v>
      </c>
      <c r="P19" s="32">
        <f t="shared" si="9"/>
        <v>1739928.3300000005</v>
      </c>
      <c r="Q19" s="32"/>
      <c r="R19" s="32">
        <f t="shared" si="5"/>
        <v>1080030</v>
      </c>
      <c r="S19" s="32"/>
      <c r="T19" s="32"/>
      <c r="U19" s="32"/>
      <c r="V19" s="36"/>
      <c r="W19" s="32"/>
      <c r="X19" s="32"/>
      <c r="Y19" s="32"/>
      <c r="Z19" s="37">
        <f t="shared" si="1"/>
        <v>11923207.33</v>
      </c>
      <c r="AA19" s="38"/>
      <c r="AB19" s="39">
        <f t="shared" si="2"/>
        <v>91442.54000000001</v>
      </c>
      <c r="AC19" s="40"/>
    </row>
    <row r="20" spans="1:29" s="41" customFormat="1" ht="16.5" customHeight="1">
      <c r="A20" s="28" t="s">
        <v>31</v>
      </c>
      <c r="B20" s="42" t="s">
        <v>124</v>
      </c>
      <c r="C20" s="30" t="s">
        <v>125</v>
      </c>
      <c r="D20" s="51">
        <v>4.06</v>
      </c>
      <c r="E20" s="32">
        <f t="shared" si="6"/>
        <v>5050842.999999999</v>
      </c>
      <c r="F20" s="52">
        <f>D20*8%</f>
        <v>0.3248</v>
      </c>
      <c r="G20" s="32">
        <f t="shared" si="7"/>
        <v>404067.43999999994</v>
      </c>
      <c r="H20" s="53"/>
      <c r="I20" s="32">
        <f t="shared" si="8"/>
        <v>0</v>
      </c>
      <c r="J20" s="32"/>
      <c r="K20" s="32">
        <f t="shared" si="4"/>
        <v>139000</v>
      </c>
      <c r="L20" s="32" t="e">
        <f>+J20-K20-#REF!</f>
        <v>#REF!</v>
      </c>
      <c r="M20" s="32"/>
      <c r="N20" s="34">
        <v>0.26</v>
      </c>
      <c r="O20" s="35">
        <f t="shared" si="0"/>
        <v>1.140048</v>
      </c>
      <c r="P20" s="32">
        <f t="shared" si="9"/>
        <v>1418276.7144</v>
      </c>
      <c r="Q20" s="32"/>
      <c r="R20" s="32"/>
      <c r="S20" s="32"/>
      <c r="T20" s="32">
        <f>0.3*1390000</f>
        <v>417000</v>
      </c>
      <c r="U20" s="32"/>
      <c r="V20" s="36">
        <f>(D20+F20+H20)*1390000*30%</f>
        <v>1828461.5999999996</v>
      </c>
      <c r="W20" s="32"/>
      <c r="X20" s="32"/>
      <c r="Y20" s="32"/>
      <c r="Z20" s="37">
        <f t="shared" si="1"/>
        <v>9257648.7544</v>
      </c>
      <c r="AA20" s="38"/>
      <c r="AB20" s="39">
        <f t="shared" si="2"/>
        <v>72280.6672</v>
      </c>
      <c r="AC20" s="40"/>
    </row>
    <row r="21" spans="1:29" s="41" customFormat="1" ht="16.5" customHeight="1">
      <c r="A21" s="28" t="s">
        <v>32</v>
      </c>
      <c r="B21" s="42" t="s">
        <v>0</v>
      </c>
      <c r="C21" s="30" t="s">
        <v>126</v>
      </c>
      <c r="D21" s="51">
        <v>4.98</v>
      </c>
      <c r="E21" s="32">
        <f t="shared" si="6"/>
        <v>6195369.000000001</v>
      </c>
      <c r="F21" s="52"/>
      <c r="G21" s="32">
        <f t="shared" si="7"/>
        <v>0</v>
      </c>
      <c r="H21" s="54"/>
      <c r="I21" s="32">
        <f t="shared" si="8"/>
        <v>0</v>
      </c>
      <c r="J21" s="32">
        <f t="shared" si="3"/>
        <v>2422770</v>
      </c>
      <c r="K21" s="32">
        <f t="shared" si="4"/>
        <v>139000</v>
      </c>
      <c r="L21" s="32" t="e">
        <f>+J21-K21-#REF!</f>
        <v>#REF!</v>
      </c>
      <c r="M21" s="32"/>
      <c r="N21" s="34">
        <v>0.31</v>
      </c>
      <c r="O21" s="35">
        <f t="shared" si="0"/>
        <v>1.5438</v>
      </c>
      <c r="P21" s="32">
        <f t="shared" si="9"/>
        <v>1920564.3900000001</v>
      </c>
      <c r="Q21" s="32"/>
      <c r="R21" s="32">
        <f t="shared" si="5"/>
        <v>1038330.0000000001</v>
      </c>
      <c r="S21" s="32"/>
      <c r="T21" s="32"/>
      <c r="U21" s="32"/>
      <c r="V21" s="36"/>
      <c r="W21" s="32"/>
      <c r="X21" s="32"/>
      <c r="Y21" s="32"/>
      <c r="Z21" s="37">
        <f t="shared" si="1"/>
        <v>11716033.39</v>
      </c>
      <c r="AA21" s="38"/>
      <c r="AB21" s="39">
        <f t="shared" si="2"/>
        <v>90680.82</v>
      </c>
      <c r="AC21" s="40"/>
    </row>
    <row r="22" spans="1:29" s="41" customFormat="1" ht="16.5" customHeight="1">
      <c r="A22" s="28" t="s">
        <v>33</v>
      </c>
      <c r="B22" s="42" t="s">
        <v>127</v>
      </c>
      <c r="C22" s="30" t="s">
        <v>128</v>
      </c>
      <c r="D22" s="51">
        <v>4.32</v>
      </c>
      <c r="E22" s="32">
        <f t="shared" si="6"/>
        <v>5374296</v>
      </c>
      <c r="F22" s="52"/>
      <c r="G22" s="32">
        <f t="shared" si="7"/>
        <v>0</v>
      </c>
      <c r="H22" s="53"/>
      <c r="I22" s="32">
        <f t="shared" si="8"/>
        <v>0</v>
      </c>
      <c r="J22" s="32">
        <f t="shared" si="3"/>
        <v>2101680</v>
      </c>
      <c r="K22" s="32">
        <f t="shared" si="4"/>
        <v>139000</v>
      </c>
      <c r="L22" s="32" t="e">
        <f>+J22-K22-#REF!</f>
        <v>#REF!</v>
      </c>
      <c r="M22" s="32"/>
      <c r="N22" s="34">
        <v>0.25</v>
      </c>
      <c r="O22" s="35">
        <f t="shared" si="0"/>
        <v>1.08</v>
      </c>
      <c r="P22" s="32">
        <f t="shared" si="9"/>
        <v>1343574</v>
      </c>
      <c r="Q22" s="32"/>
      <c r="R22" s="32">
        <f t="shared" si="5"/>
        <v>900720</v>
      </c>
      <c r="S22" s="32"/>
      <c r="T22" s="32"/>
      <c r="U22" s="32"/>
      <c r="V22" s="36"/>
      <c r="W22" s="32"/>
      <c r="X22" s="32"/>
      <c r="Y22" s="32"/>
      <c r="Z22" s="37">
        <f t="shared" si="1"/>
        <v>9859270</v>
      </c>
      <c r="AA22" s="38"/>
      <c r="AB22" s="39">
        <f t="shared" si="2"/>
        <v>75060.00000000001</v>
      </c>
      <c r="AC22" s="40"/>
    </row>
    <row r="23" spans="1:29" s="41" customFormat="1" ht="16.5" customHeight="1">
      <c r="A23" s="28" t="s">
        <v>34</v>
      </c>
      <c r="B23" s="42" t="s">
        <v>129</v>
      </c>
      <c r="C23" s="30" t="s">
        <v>130</v>
      </c>
      <c r="D23" s="51">
        <v>4.65</v>
      </c>
      <c r="E23" s="32">
        <f t="shared" si="6"/>
        <v>5784832.500000001</v>
      </c>
      <c r="F23" s="52"/>
      <c r="G23" s="32">
        <f t="shared" si="7"/>
        <v>0</v>
      </c>
      <c r="H23" s="53"/>
      <c r="I23" s="32">
        <f t="shared" si="8"/>
        <v>0</v>
      </c>
      <c r="J23" s="32">
        <f t="shared" si="3"/>
        <v>2262225</v>
      </c>
      <c r="K23" s="32">
        <f t="shared" si="4"/>
        <v>139000</v>
      </c>
      <c r="L23" s="32" t="e">
        <f>+J23-K23-#REF!</f>
        <v>#REF!</v>
      </c>
      <c r="M23" s="32">
        <f>0.3*1390000</f>
        <v>417000</v>
      </c>
      <c r="N23" s="34">
        <v>0.23</v>
      </c>
      <c r="O23" s="35">
        <f t="shared" si="0"/>
        <v>1.0695000000000001</v>
      </c>
      <c r="P23" s="32">
        <f t="shared" si="9"/>
        <v>1330511.4750000003</v>
      </c>
      <c r="Q23" s="32"/>
      <c r="R23" s="32">
        <f t="shared" si="5"/>
        <v>969525.0000000001</v>
      </c>
      <c r="S23" s="32"/>
      <c r="T23" s="32"/>
      <c r="U23" s="32"/>
      <c r="V23" s="36"/>
      <c r="W23" s="32"/>
      <c r="X23" s="32"/>
      <c r="Y23" s="32"/>
      <c r="Z23" s="37">
        <f t="shared" si="1"/>
        <v>10903093.975</v>
      </c>
      <c r="AA23" s="38"/>
      <c r="AB23" s="39">
        <f t="shared" si="2"/>
        <v>79501.05</v>
      </c>
      <c r="AC23" s="40"/>
    </row>
    <row r="24" spans="1:29" s="41" customFormat="1" ht="16.5" customHeight="1">
      <c r="A24" s="28" t="s">
        <v>35</v>
      </c>
      <c r="B24" s="42" t="s">
        <v>131</v>
      </c>
      <c r="C24" s="30" t="s">
        <v>132</v>
      </c>
      <c r="D24" s="51">
        <v>4.06</v>
      </c>
      <c r="E24" s="32">
        <f t="shared" si="6"/>
        <v>5050842.999999999</v>
      </c>
      <c r="F24" s="52">
        <f>D24/100*9</f>
        <v>0.36539999999999995</v>
      </c>
      <c r="G24" s="32">
        <f t="shared" si="7"/>
        <v>454575.86999999994</v>
      </c>
      <c r="H24" s="53"/>
      <c r="I24" s="32">
        <f t="shared" si="8"/>
        <v>0</v>
      </c>
      <c r="J24" s="32"/>
      <c r="K24" s="32">
        <f t="shared" si="4"/>
        <v>139000</v>
      </c>
      <c r="L24" s="32" t="e">
        <f>+J24-K24-#REF!</f>
        <v>#REF!</v>
      </c>
      <c r="M24" s="32"/>
      <c r="N24" s="34">
        <v>0.26</v>
      </c>
      <c r="O24" s="35">
        <f t="shared" si="0"/>
        <v>1.150604</v>
      </c>
      <c r="P24" s="32">
        <f t="shared" si="9"/>
        <v>1431408.9062</v>
      </c>
      <c r="Q24" s="32"/>
      <c r="R24" s="32"/>
      <c r="S24" s="32"/>
      <c r="T24" s="32"/>
      <c r="U24" s="32"/>
      <c r="V24" s="36">
        <f>(D24+F24+H24)*1390000*30%</f>
        <v>1845391.8</v>
      </c>
      <c r="W24" s="32"/>
      <c r="X24" s="32"/>
      <c r="Y24" s="32"/>
      <c r="Z24" s="37">
        <f t="shared" si="1"/>
        <v>8921219.5762</v>
      </c>
      <c r="AA24" s="38"/>
      <c r="AB24" s="39">
        <f t="shared" si="2"/>
        <v>72427.3956</v>
      </c>
      <c r="AC24" s="40"/>
    </row>
    <row r="25" spans="1:29" s="41" customFormat="1" ht="16.5" customHeight="1">
      <c r="A25" s="28" t="s">
        <v>36</v>
      </c>
      <c r="B25" s="42" t="s">
        <v>133</v>
      </c>
      <c r="C25" s="30" t="s">
        <v>134</v>
      </c>
      <c r="D25" s="51">
        <v>4.65</v>
      </c>
      <c r="E25" s="32">
        <f t="shared" si="6"/>
        <v>5784832.500000001</v>
      </c>
      <c r="F25" s="52"/>
      <c r="G25" s="32">
        <f t="shared" si="7"/>
        <v>0</v>
      </c>
      <c r="H25" s="53"/>
      <c r="I25" s="32">
        <f t="shared" si="8"/>
        <v>0</v>
      </c>
      <c r="J25" s="32">
        <f t="shared" si="3"/>
        <v>2262225</v>
      </c>
      <c r="K25" s="32">
        <f t="shared" si="4"/>
        <v>139000</v>
      </c>
      <c r="L25" s="32" t="e">
        <f>+J25-K25-#REF!</f>
        <v>#REF!</v>
      </c>
      <c r="M25" s="32"/>
      <c r="N25" s="34">
        <v>0.23</v>
      </c>
      <c r="O25" s="35">
        <f t="shared" si="0"/>
        <v>1.0695000000000001</v>
      </c>
      <c r="P25" s="32">
        <f t="shared" si="9"/>
        <v>1330511.4750000003</v>
      </c>
      <c r="Q25" s="32"/>
      <c r="R25" s="32">
        <f t="shared" si="5"/>
        <v>969525.0000000001</v>
      </c>
      <c r="S25" s="32"/>
      <c r="T25" s="32"/>
      <c r="U25" s="32"/>
      <c r="V25" s="36"/>
      <c r="W25" s="32"/>
      <c r="X25" s="32"/>
      <c r="Y25" s="32"/>
      <c r="Z25" s="37">
        <f t="shared" si="1"/>
        <v>10486093.975000001</v>
      </c>
      <c r="AA25" s="38"/>
      <c r="AB25" s="39">
        <f t="shared" si="2"/>
        <v>79501.05</v>
      </c>
      <c r="AC25" s="40"/>
    </row>
    <row r="26" spans="1:29" s="41" customFormat="1" ht="16.5" customHeight="1">
      <c r="A26" s="28" t="s">
        <v>37</v>
      </c>
      <c r="B26" s="42" t="s">
        <v>135</v>
      </c>
      <c r="C26" s="30" t="s">
        <v>136</v>
      </c>
      <c r="D26" s="46">
        <v>4.65</v>
      </c>
      <c r="E26" s="32">
        <f t="shared" si="6"/>
        <v>5784832.500000001</v>
      </c>
      <c r="F26" s="52"/>
      <c r="G26" s="32">
        <f t="shared" si="7"/>
        <v>0</v>
      </c>
      <c r="H26" s="54">
        <v>0.2</v>
      </c>
      <c r="I26" s="32">
        <f t="shared" si="8"/>
        <v>248810</v>
      </c>
      <c r="J26" s="32"/>
      <c r="K26" s="32">
        <f t="shared" si="4"/>
        <v>139000</v>
      </c>
      <c r="L26" s="32" t="e">
        <f>+J26-K26-#REF!</f>
        <v>#REF!</v>
      </c>
      <c r="M26" s="32"/>
      <c r="N26" s="34">
        <v>0.23</v>
      </c>
      <c r="O26" s="35">
        <f t="shared" si="0"/>
        <v>1.1155000000000002</v>
      </c>
      <c r="P26" s="32">
        <f t="shared" si="9"/>
        <v>1387737.7750000001</v>
      </c>
      <c r="Q26" s="32"/>
      <c r="R26" s="32"/>
      <c r="S26" s="32"/>
      <c r="T26" s="32"/>
      <c r="U26" s="32"/>
      <c r="V26" s="36">
        <f>(D26+F26+H26)*1390000*30%</f>
        <v>2022450.0000000002</v>
      </c>
      <c r="W26" s="32"/>
      <c r="X26" s="32"/>
      <c r="Y26" s="32"/>
      <c r="Z26" s="37">
        <f t="shared" si="1"/>
        <v>9582830.275000002</v>
      </c>
      <c r="AA26" s="38"/>
      <c r="AB26" s="39">
        <f t="shared" si="2"/>
        <v>82920.45000000001</v>
      </c>
      <c r="AC26" s="40"/>
    </row>
    <row r="27" spans="1:29" s="41" customFormat="1" ht="16.5" customHeight="1">
      <c r="A27" s="28" t="s">
        <v>38</v>
      </c>
      <c r="B27" s="42" t="s">
        <v>137</v>
      </c>
      <c r="C27" s="55">
        <v>5504205110069</v>
      </c>
      <c r="D27" s="51">
        <v>4.32</v>
      </c>
      <c r="E27" s="32">
        <f t="shared" si="6"/>
        <v>5374296</v>
      </c>
      <c r="F27" s="52"/>
      <c r="G27" s="32">
        <f t="shared" si="7"/>
        <v>0</v>
      </c>
      <c r="H27" s="56">
        <v>0.15</v>
      </c>
      <c r="I27" s="32">
        <f t="shared" si="8"/>
        <v>186607.5</v>
      </c>
      <c r="J27" s="32"/>
      <c r="K27" s="32">
        <f t="shared" si="4"/>
        <v>139000</v>
      </c>
      <c r="L27" s="32" t="e">
        <f>+J27-K27-#REF!</f>
        <v>#REF!</v>
      </c>
      <c r="M27" s="32"/>
      <c r="N27" s="34">
        <v>0.23</v>
      </c>
      <c r="O27" s="35">
        <f t="shared" si="0"/>
        <v>1.0281000000000002</v>
      </c>
      <c r="P27" s="32">
        <f t="shared" si="9"/>
        <v>1279007.8050000002</v>
      </c>
      <c r="Q27" s="32"/>
      <c r="R27" s="32"/>
      <c r="S27" s="32"/>
      <c r="T27" s="32"/>
      <c r="U27" s="32">
        <f>0.2*1390000</f>
        <v>278000</v>
      </c>
      <c r="V27" s="36">
        <f>(D27+F27+H27)*1390000*30%</f>
        <v>1863990.0000000002</v>
      </c>
      <c r="W27" s="32"/>
      <c r="X27" s="32"/>
      <c r="Y27" s="32"/>
      <c r="Z27" s="37">
        <f t="shared" si="1"/>
        <v>9120901.305</v>
      </c>
      <c r="AA27" s="38"/>
      <c r="AB27" s="39">
        <f t="shared" si="2"/>
        <v>76423.59000000001</v>
      </c>
      <c r="AC27" s="40"/>
    </row>
    <row r="28" spans="1:29" s="41" customFormat="1" ht="16.5" customHeight="1">
      <c r="A28" s="28" t="s">
        <v>39</v>
      </c>
      <c r="B28" s="42" t="s">
        <v>138</v>
      </c>
      <c r="C28" s="30" t="s">
        <v>139</v>
      </c>
      <c r="D28" s="51">
        <v>4.65</v>
      </c>
      <c r="E28" s="32">
        <f t="shared" si="6"/>
        <v>5784832.500000001</v>
      </c>
      <c r="F28" s="52"/>
      <c r="G28" s="32">
        <f t="shared" si="7"/>
        <v>0</v>
      </c>
      <c r="H28" s="54"/>
      <c r="I28" s="32">
        <f t="shared" si="8"/>
        <v>0</v>
      </c>
      <c r="J28" s="32">
        <f t="shared" si="3"/>
        <v>2262225</v>
      </c>
      <c r="K28" s="32">
        <f t="shared" si="4"/>
        <v>139000</v>
      </c>
      <c r="L28" s="32" t="e">
        <f>+J28-K28-#REF!</f>
        <v>#REF!</v>
      </c>
      <c r="M28" s="32"/>
      <c r="N28" s="34">
        <v>0.23</v>
      </c>
      <c r="O28" s="35">
        <f t="shared" si="0"/>
        <v>1.0695000000000001</v>
      </c>
      <c r="P28" s="32">
        <f t="shared" si="9"/>
        <v>1330511.4750000003</v>
      </c>
      <c r="Q28" s="32"/>
      <c r="R28" s="32">
        <f t="shared" si="5"/>
        <v>969525.0000000001</v>
      </c>
      <c r="S28" s="32"/>
      <c r="T28" s="32"/>
      <c r="U28" s="32"/>
      <c r="V28" s="36"/>
      <c r="W28" s="32"/>
      <c r="X28" s="32"/>
      <c r="Y28" s="32"/>
      <c r="Z28" s="37">
        <f t="shared" si="1"/>
        <v>10486093.975000001</v>
      </c>
      <c r="AA28" s="38"/>
      <c r="AB28" s="39">
        <f t="shared" si="2"/>
        <v>79501.05</v>
      </c>
      <c r="AC28" s="40"/>
    </row>
    <row r="29" spans="1:29" s="41" customFormat="1" ht="16.5" customHeight="1">
      <c r="A29" s="28" t="s">
        <v>40</v>
      </c>
      <c r="B29" s="42" t="s">
        <v>140</v>
      </c>
      <c r="C29" s="30" t="s">
        <v>141</v>
      </c>
      <c r="D29" s="43">
        <v>4.32</v>
      </c>
      <c r="E29" s="32">
        <f t="shared" si="6"/>
        <v>5374296</v>
      </c>
      <c r="F29" s="44"/>
      <c r="G29" s="32">
        <f t="shared" si="7"/>
        <v>0</v>
      </c>
      <c r="H29" s="45">
        <v>0.2</v>
      </c>
      <c r="I29" s="32">
        <f t="shared" si="8"/>
        <v>248810</v>
      </c>
      <c r="J29" s="32">
        <f t="shared" si="3"/>
        <v>2198980</v>
      </c>
      <c r="K29" s="32">
        <f t="shared" si="4"/>
        <v>139000</v>
      </c>
      <c r="L29" s="32" t="e">
        <f>+J29-K29-#REF!</f>
        <v>#REF!</v>
      </c>
      <c r="M29" s="32"/>
      <c r="N29" s="34">
        <v>0.22</v>
      </c>
      <c r="O29" s="35">
        <f t="shared" si="0"/>
        <v>0.9944000000000001</v>
      </c>
      <c r="P29" s="32">
        <f t="shared" si="9"/>
        <v>1237083.32</v>
      </c>
      <c r="Q29" s="32"/>
      <c r="R29" s="32">
        <f t="shared" si="5"/>
        <v>942420.0000000001</v>
      </c>
      <c r="S29" s="32"/>
      <c r="T29" s="32"/>
      <c r="U29" s="32"/>
      <c r="V29" s="36"/>
      <c r="W29" s="32"/>
      <c r="X29" s="32"/>
      <c r="Y29" s="32"/>
      <c r="Z29" s="37">
        <f t="shared" si="1"/>
        <v>10140589.32</v>
      </c>
      <c r="AA29" s="38"/>
      <c r="AB29" s="39">
        <f t="shared" si="2"/>
        <v>76650.16</v>
      </c>
      <c r="AC29" s="40"/>
    </row>
    <row r="30" spans="1:29" s="41" customFormat="1" ht="16.5" customHeight="1">
      <c r="A30" s="28" t="s">
        <v>41</v>
      </c>
      <c r="B30" s="42" t="s">
        <v>142</v>
      </c>
      <c r="C30" s="30" t="s">
        <v>143</v>
      </c>
      <c r="D30" s="43">
        <v>4.32</v>
      </c>
      <c r="E30" s="32">
        <f t="shared" si="6"/>
        <v>5374296</v>
      </c>
      <c r="F30" s="44"/>
      <c r="G30" s="32">
        <f t="shared" si="7"/>
        <v>0</v>
      </c>
      <c r="H30" s="45"/>
      <c r="I30" s="32">
        <f t="shared" si="8"/>
        <v>0</v>
      </c>
      <c r="J30" s="32">
        <f t="shared" si="3"/>
        <v>2101680</v>
      </c>
      <c r="K30" s="32">
        <f t="shared" si="4"/>
        <v>139000</v>
      </c>
      <c r="L30" s="32" t="e">
        <f>+J30-K30-#REF!</f>
        <v>#REF!</v>
      </c>
      <c r="M30" s="32"/>
      <c r="N30" s="34">
        <v>0.22</v>
      </c>
      <c r="O30" s="35">
        <f t="shared" si="0"/>
        <v>0.9504</v>
      </c>
      <c r="P30" s="32">
        <f t="shared" si="9"/>
        <v>1182345.12</v>
      </c>
      <c r="Q30" s="32"/>
      <c r="R30" s="32">
        <f t="shared" si="5"/>
        <v>900720</v>
      </c>
      <c r="S30" s="32"/>
      <c r="T30" s="32"/>
      <c r="U30" s="32"/>
      <c r="V30" s="36"/>
      <c r="W30" s="32"/>
      <c r="X30" s="32"/>
      <c r="Y30" s="32"/>
      <c r="Z30" s="37">
        <f t="shared" si="1"/>
        <v>9698041.120000001</v>
      </c>
      <c r="AA30" s="38"/>
      <c r="AB30" s="39">
        <f t="shared" si="2"/>
        <v>73258.56000000001</v>
      </c>
      <c r="AC30" s="40"/>
    </row>
    <row r="31" spans="1:29" s="41" customFormat="1" ht="16.5" customHeight="1">
      <c r="A31" s="28" t="s">
        <v>42</v>
      </c>
      <c r="B31" s="42" t="s">
        <v>144</v>
      </c>
      <c r="C31" s="30" t="s">
        <v>145</v>
      </c>
      <c r="D31" s="43">
        <v>4.32</v>
      </c>
      <c r="E31" s="32">
        <f t="shared" si="6"/>
        <v>5374296</v>
      </c>
      <c r="F31" s="44"/>
      <c r="G31" s="32">
        <f t="shared" si="7"/>
        <v>0</v>
      </c>
      <c r="H31" s="50">
        <v>0.2</v>
      </c>
      <c r="I31" s="32">
        <f t="shared" si="8"/>
        <v>248810</v>
      </c>
      <c r="J31" s="32">
        <f t="shared" si="3"/>
        <v>2198980</v>
      </c>
      <c r="K31" s="32">
        <f t="shared" si="4"/>
        <v>139000</v>
      </c>
      <c r="L31" s="32" t="e">
        <f>+J31-K31-#REF!</f>
        <v>#REF!</v>
      </c>
      <c r="M31" s="32"/>
      <c r="N31" s="34">
        <v>0.22</v>
      </c>
      <c r="O31" s="35">
        <f t="shared" si="0"/>
        <v>0.9944000000000001</v>
      </c>
      <c r="P31" s="32">
        <f t="shared" si="9"/>
        <v>1237083.32</v>
      </c>
      <c r="Q31" s="32"/>
      <c r="R31" s="32">
        <f t="shared" si="5"/>
        <v>942420.0000000001</v>
      </c>
      <c r="S31" s="32"/>
      <c r="T31" s="32"/>
      <c r="U31" s="32"/>
      <c r="V31" s="36"/>
      <c r="W31" s="32"/>
      <c r="X31" s="32"/>
      <c r="Y31" s="32"/>
      <c r="Z31" s="37">
        <f t="shared" si="1"/>
        <v>10140589.32</v>
      </c>
      <c r="AA31" s="38"/>
      <c r="AB31" s="39">
        <f t="shared" si="2"/>
        <v>76650.16</v>
      </c>
      <c r="AC31" s="40"/>
    </row>
    <row r="32" spans="1:29" s="41" customFormat="1" ht="16.5" customHeight="1">
      <c r="A32" s="28" t="s">
        <v>43</v>
      </c>
      <c r="B32" s="42" t="s">
        <v>146</v>
      </c>
      <c r="C32" s="30" t="s">
        <v>147</v>
      </c>
      <c r="D32" s="43">
        <v>3.99</v>
      </c>
      <c r="E32" s="32">
        <f t="shared" si="6"/>
        <v>4963759.5</v>
      </c>
      <c r="F32" s="44"/>
      <c r="G32" s="32">
        <f t="shared" si="7"/>
        <v>0</v>
      </c>
      <c r="H32" s="45"/>
      <c r="I32" s="32">
        <f t="shared" si="8"/>
        <v>0</v>
      </c>
      <c r="J32" s="32">
        <f t="shared" si="3"/>
        <v>1941134.9999999998</v>
      </c>
      <c r="K32" s="32">
        <f t="shared" si="4"/>
        <v>139000</v>
      </c>
      <c r="L32" s="32" t="e">
        <f>+J32-K32-#REF!</f>
        <v>#REF!</v>
      </c>
      <c r="M32" s="32"/>
      <c r="N32" s="34">
        <v>0.21</v>
      </c>
      <c r="O32" s="35">
        <f t="shared" si="0"/>
        <v>0.8379</v>
      </c>
      <c r="P32" s="32">
        <f t="shared" si="9"/>
        <v>1042389.495</v>
      </c>
      <c r="Q32" s="32"/>
      <c r="R32" s="32">
        <f t="shared" si="5"/>
        <v>831915</v>
      </c>
      <c r="S32" s="32"/>
      <c r="T32" s="32"/>
      <c r="U32" s="32"/>
      <c r="V32" s="36"/>
      <c r="W32" s="32"/>
      <c r="X32" s="32"/>
      <c r="Y32" s="32"/>
      <c r="Z32" s="37">
        <f t="shared" si="1"/>
        <v>8918198.995000001</v>
      </c>
      <c r="AA32" s="38"/>
      <c r="AB32" s="39">
        <f t="shared" si="2"/>
        <v>67107.81000000001</v>
      </c>
      <c r="AC32" s="40"/>
    </row>
    <row r="33" spans="1:29" s="41" customFormat="1" ht="16.5" customHeight="1">
      <c r="A33" s="28" t="s">
        <v>44</v>
      </c>
      <c r="B33" s="42" t="s">
        <v>148</v>
      </c>
      <c r="C33" s="30" t="s">
        <v>149</v>
      </c>
      <c r="D33" s="43">
        <v>4.06</v>
      </c>
      <c r="E33" s="32">
        <f t="shared" si="6"/>
        <v>5050842.999999999</v>
      </c>
      <c r="F33" s="44"/>
      <c r="G33" s="32">
        <f t="shared" si="7"/>
        <v>0</v>
      </c>
      <c r="H33" s="45"/>
      <c r="I33" s="32">
        <f t="shared" si="8"/>
        <v>0</v>
      </c>
      <c r="J33" s="32">
        <f t="shared" si="3"/>
        <v>1975189.9999999995</v>
      </c>
      <c r="K33" s="32">
        <f t="shared" si="4"/>
        <v>139000</v>
      </c>
      <c r="L33" s="32" t="e">
        <f>+J33-K33-#REF!</f>
        <v>#REF!</v>
      </c>
      <c r="M33" s="32"/>
      <c r="N33" s="34">
        <v>0.21</v>
      </c>
      <c r="O33" s="35">
        <f t="shared" si="0"/>
        <v>0.8525999999999999</v>
      </c>
      <c r="P33" s="32">
        <f t="shared" si="9"/>
        <v>1060677.0299999998</v>
      </c>
      <c r="Q33" s="32"/>
      <c r="R33" s="32">
        <f t="shared" si="5"/>
        <v>846509.9999999999</v>
      </c>
      <c r="S33" s="32"/>
      <c r="T33" s="32"/>
      <c r="U33" s="32"/>
      <c r="V33" s="36"/>
      <c r="W33" s="32"/>
      <c r="X33" s="32"/>
      <c r="Y33" s="32"/>
      <c r="Z33" s="37">
        <f t="shared" si="1"/>
        <v>9072220.029999997</v>
      </c>
      <c r="AA33" s="38"/>
      <c r="AB33" s="39">
        <f t="shared" si="2"/>
        <v>68285.13999999998</v>
      </c>
      <c r="AC33" s="40"/>
    </row>
    <row r="34" spans="1:29" s="41" customFormat="1" ht="16.5" customHeight="1">
      <c r="A34" s="28" t="s">
        <v>45</v>
      </c>
      <c r="B34" s="42" t="s">
        <v>150</v>
      </c>
      <c r="C34" s="30" t="s">
        <v>151</v>
      </c>
      <c r="D34" s="46">
        <v>4.06</v>
      </c>
      <c r="E34" s="32">
        <f t="shared" si="6"/>
        <v>5050842.999999999</v>
      </c>
      <c r="F34" s="44"/>
      <c r="G34" s="32">
        <f t="shared" si="7"/>
        <v>0</v>
      </c>
      <c r="H34" s="45"/>
      <c r="I34" s="32">
        <f t="shared" si="8"/>
        <v>0</v>
      </c>
      <c r="J34" s="32">
        <f t="shared" si="3"/>
        <v>1975189.9999999995</v>
      </c>
      <c r="K34" s="32">
        <f t="shared" si="4"/>
        <v>139000</v>
      </c>
      <c r="L34" s="32"/>
      <c r="M34" s="32"/>
      <c r="N34" s="34">
        <v>0.19</v>
      </c>
      <c r="O34" s="35">
        <f t="shared" si="0"/>
        <v>0.7714</v>
      </c>
      <c r="P34" s="32">
        <f t="shared" si="9"/>
        <v>959660.17</v>
      </c>
      <c r="Q34" s="32"/>
      <c r="R34" s="32">
        <f t="shared" si="5"/>
        <v>846509.9999999999</v>
      </c>
      <c r="S34" s="32"/>
      <c r="T34" s="32"/>
      <c r="U34" s="32"/>
      <c r="V34" s="36"/>
      <c r="W34" s="32"/>
      <c r="X34" s="32"/>
      <c r="Y34" s="32"/>
      <c r="Z34" s="37">
        <f t="shared" si="1"/>
        <v>8971203.169999998</v>
      </c>
      <c r="AA34" s="38"/>
      <c r="AB34" s="39">
        <f t="shared" si="2"/>
        <v>67156.45999999999</v>
      </c>
      <c r="AC34" s="40"/>
    </row>
    <row r="35" spans="1:29" s="41" customFormat="1" ht="16.5" customHeight="1">
      <c r="A35" s="28" t="s">
        <v>46</v>
      </c>
      <c r="B35" s="42" t="s">
        <v>152</v>
      </c>
      <c r="C35" s="30" t="s">
        <v>153</v>
      </c>
      <c r="D35" s="43">
        <v>4.27</v>
      </c>
      <c r="E35" s="32">
        <f t="shared" si="6"/>
        <v>5312093.499999999</v>
      </c>
      <c r="F35" s="44"/>
      <c r="G35" s="32">
        <f t="shared" si="7"/>
        <v>0</v>
      </c>
      <c r="H35" s="45"/>
      <c r="I35" s="32">
        <f t="shared" si="8"/>
        <v>0</v>
      </c>
      <c r="J35" s="32">
        <f t="shared" si="3"/>
        <v>2077354.9999999995</v>
      </c>
      <c r="K35" s="32">
        <f t="shared" si="4"/>
        <v>139000</v>
      </c>
      <c r="L35" s="32" t="e">
        <f>+J35-K35-#REF!</f>
        <v>#REF!</v>
      </c>
      <c r="M35" s="32"/>
      <c r="N35" s="34">
        <v>0.19</v>
      </c>
      <c r="O35" s="35">
        <f t="shared" si="0"/>
        <v>0.8112999999999999</v>
      </c>
      <c r="P35" s="32">
        <f t="shared" si="9"/>
        <v>1009297.7649999998</v>
      </c>
      <c r="Q35" s="32"/>
      <c r="R35" s="32">
        <f t="shared" si="5"/>
        <v>890294.9999999999</v>
      </c>
      <c r="S35" s="32"/>
      <c r="T35" s="32"/>
      <c r="U35" s="32"/>
      <c r="V35" s="36"/>
      <c r="W35" s="32"/>
      <c r="X35" s="32"/>
      <c r="Y35" s="32"/>
      <c r="Z35" s="37">
        <f t="shared" si="1"/>
        <v>9428041.264999999</v>
      </c>
      <c r="AA35" s="38"/>
      <c r="AB35" s="39">
        <f t="shared" si="2"/>
        <v>70630.07</v>
      </c>
      <c r="AC35" s="40"/>
    </row>
    <row r="36" spans="1:29" s="41" customFormat="1" ht="16.5" customHeight="1">
      <c r="A36" s="28" t="s">
        <v>47</v>
      </c>
      <c r="B36" s="42" t="s">
        <v>154</v>
      </c>
      <c r="C36" s="30" t="s">
        <v>155</v>
      </c>
      <c r="D36" s="43">
        <v>3.96</v>
      </c>
      <c r="E36" s="32">
        <f t="shared" si="6"/>
        <v>4926438</v>
      </c>
      <c r="F36" s="44"/>
      <c r="G36" s="32">
        <f t="shared" si="7"/>
        <v>0</v>
      </c>
      <c r="H36" s="45"/>
      <c r="I36" s="32">
        <f t="shared" si="8"/>
        <v>0</v>
      </c>
      <c r="J36" s="32">
        <f t="shared" si="3"/>
        <v>1926539.9999999998</v>
      </c>
      <c r="K36" s="32">
        <f t="shared" si="4"/>
        <v>139000</v>
      </c>
      <c r="L36" s="32" t="e">
        <f>+J36-K36-#REF!</f>
        <v>#REF!</v>
      </c>
      <c r="M36" s="32"/>
      <c r="N36" s="34">
        <v>0.19</v>
      </c>
      <c r="O36" s="35">
        <f t="shared" si="0"/>
        <v>0.7524</v>
      </c>
      <c r="P36" s="32">
        <f t="shared" si="9"/>
        <v>936023.22</v>
      </c>
      <c r="Q36" s="32"/>
      <c r="R36" s="32">
        <f t="shared" si="5"/>
        <v>825660</v>
      </c>
      <c r="S36" s="32"/>
      <c r="T36" s="32"/>
      <c r="U36" s="32"/>
      <c r="V36" s="36"/>
      <c r="W36" s="32"/>
      <c r="X36" s="32"/>
      <c r="Y36" s="32"/>
      <c r="Z36" s="37">
        <f t="shared" si="1"/>
        <v>8753661.219999999</v>
      </c>
      <c r="AA36" s="38"/>
      <c r="AB36" s="39">
        <f t="shared" si="2"/>
        <v>65502.36</v>
      </c>
      <c r="AC36" s="40"/>
    </row>
    <row r="37" spans="1:29" s="41" customFormat="1" ht="16.5" customHeight="1">
      <c r="A37" s="28" t="s">
        <v>48</v>
      </c>
      <c r="B37" s="42" t="s">
        <v>156</v>
      </c>
      <c r="C37" s="30" t="s">
        <v>157</v>
      </c>
      <c r="D37" s="43">
        <v>3.99</v>
      </c>
      <c r="E37" s="32">
        <f t="shared" si="6"/>
        <v>4963759.5</v>
      </c>
      <c r="F37" s="44"/>
      <c r="G37" s="32">
        <f t="shared" si="7"/>
        <v>0</v>
      </c>
      <c r="H37" s="45"/>
      <c r="I37" s="32">
        <f t="shared" si="8"/>
        <v>0</v>
      </c>
      <c r="J37" s="32">
        <f t="shared" si="3"/>
        <v>1941134.9999999998</v>
      </c>
      <c r="K37" s="32">
        <f t="shared" si="4"/>
        <v>139000</v>
      </c>
      <c r="L37" s="32" t="e">
        <f>+J37-K37-#REF!</f>
        <v>#REF!</v>
      </c>
      <c r="M37" s="32"/>
      <c r="N37" s="34">
        <v>0.19</v>
      </c>
      <c r="O37" s="35">
        <f t="shared" si="0"/>
        <v>0.7581</v>
      </c>
      <c r="P37" s="32">
        <f t="shared" si="9"/>
        <v>943114.305</v>
      </c>
      <c r="Q37" s="32"/>
      <c r="R37" s="32">
        <f t="shared" si="5"/>
        <v>831915</v>
      </c>
      <c r="S37" s="32"/>
      <c r="T37" s="32"/>
      <c r="U37" s="32"/>
      <c r="V37" s="36"/>
      <c r="W37" s="32"/>
      <c r="X37" s="32"/>
      <c r="Y37" s="32"/>
      <c r="Z37" s="37">
        <f t="shared" si="1"/>
        <v>8818923.805</v>
      </c>
      <c r="AA37" s="38"/>
      <c r="AB37" s="39">
        <f t="shared" si="2"/>
        <v>65998.59</v>
      </c>
      <c r="AC37" s="40"/>
    </row>
    <row r="38" spans="1:29" s="41" customFormat="1" ht="16.5" customHeight="1">
      <c r="A38" s="28" t="s">
        <v>49</v>
      </c>
      <c r="B38" s="42" t="s">
        <v>158</v>
      </c>
      <c r="C38" s="57" t="s">
        <v>159</v>
      </c>
      <c r="D38" s="51">
        <v>4.06</v>
      </c>
      <c r="E38" s="32">
        <f t="shared" si="6"/>
        <v>5050842.999999999</v>
      </c>
      <c r="F38" s="44"/>
      <c r="G38" s="32">
        <f t="shared" si="7"/>
        <v>0</v>
      </c>
      <c r="H38" s="45"/>
      <c r="I38" s="32">
        <f t="shared" si="8"/>
        <v>0</v>
      </c>
      <c r="J38" s="32">
        <f t="shared" si="3"/>
        <v>1975189.9999999995</v>
      </c>
      <c r="K38" s="32">
        <f t="shared" si="4"/>
        <v>139000</v>
      </c>
      <c r="L38" s="32" t="e">
        <f>+J38-K38-#REF!</f>
        <v>#REF!</v>
      </c>
      <c r="M38" s="32"/>
      <c r="N38" s="34">
        <v>0.25</v>
      </c>
      <c r="O38" s="35">
        <f t="shared" si="0"/>
        <v>1.015</v>
      </c>
      <c r="P38" s="32">
        <f t="shared" si="9"/>
        <v>1262710.7499999998</v>
      </c>
      <c r="Q38" s="32">
        <f>639400</f>
        <v>639400</v>
      </c>
      <c r="R38" s="32">
        <f t="shared" si="5"/>
        <v>846509.9999999999</v>
      </c>
      <c r="S38" s="32"/>
      <c r="T38" s="32"/>
      <c r="U38" s="32"/>
      <c r="V38" s="36"/>
      <c r="W38" s="32"/>
      <c r="X38" s="32"/>
      <c r="Y38" s="32"/>
      <c r="Z38" s="37">
        <f>E38+G38+I38+J38+K38+M38+P38+R38+S38+U38+V38+W38+T38+Q38</f>
        <v>9913653.749999998</v>
      </c>
      <c r="AA38" s="38"/>
      <c r="AB38" s="39">
        <f t="shared" si="2"/>
        <v>70542.49999999999</v>
      </c>
      <c r="AC38" s="40"/>
    </row>
    <row r="39" spans="1:29" s="41" customFormat="1" ht="16.5" customHeight="1">
      <c r="A39" s="28" t="s">
        <v>50</v>
      </c>
      <c r="B39" s="42" t="s">
        <v>160</v>
      </c>
      <c r="C39" s="30" t="s">
        <v>161</v>
      </c>
      <c r="D39" s="51">
        <v>3.66</v>
      </c>
      <c r="E39" s="32">
        <f t="shared" si="6"/>
        <v>4553223</v>
      </c>
      <c r="F39" s="44"/>
      <c r="G39" s="32">
        <f t="shared" si="7"/>
        <v>0</v>
      </c>
      <c r="H39" s="50">
        <v>0.2</v>
      </c>
      <c r="I39" s="32">
        <f t="shared" si="8"/>
        <v>248810</v>
      </c>
      <c r="J39" s="32">
        <f t="shared" si="3"/>
        <v>1877889.9999999998</v>
      </c>
      <c r="K39" s="32">
        <f t="shared" si="4"/>
        <v>139000</v>
      </c>
      <c r="L39" s="32" t="e">
        <f>+J39-K39-#REF!</f>
        <v>#REF!</v>
      </c>
      <c r="M39" s="32"/>
      <c r="N39" s="34">
        <v>0.18</v>
      </c>
      <c r="O39" s="35">
        <f t="shared" si="0"/>
        <v>0.6948000000000001</v>
      </c>
      <c r="P39" s="32">
        <f t="shared" si="9"/>
        <v>864365.9400000002</v>
      </c>
      <c r="Q39" s="32"/>
      <c r="R39" s="32">
        <f t="shared" si="5"/>
        <v>804810</v>
      </c>
      <c r="S39" s="32"/>
      <c r="T39" s="32"/>
      <c r="U39" s="32"/>
      <c r="V39" s="36"/>
      <c r="W39" s="32"/>
      <c r="X39" s="32"/>
      <c r="Y39" s="32"/>
      <c r="Z39" s="37">
        <f aca="true" t="shared" si="10" ref="Z39:Z46">E39+G39+I39+J39+K39+M39+P39+R39+S39+U39+V39+W39+T39</f>
        <v>8488098.940000001</v>
      </c>
      <c r="AA39" s="38"/>
      <c r="AB39" s="39">
        <f t="shared" si="2"/>
        <v>63311.72</v>
      </c>
      <c r="AC39" s="40"/>
    </row>
    <row r="40" spans="1:29" s="41" customFormat="1" ht="16.5" customHeight="1">
      <c r="A40" s="28" t="s">
        <v>51</v>
      </c>
      <c r="B40" s="42" t="s">
        <v>162</v>
      </c>
      <c r="C40" s="30" t="s">
        <v>163</v>
      </c>
      <c r="D40" s="51">
        <v>3.99</v>
      </c>
      <c r="E40" s="32">
        <f t="shared" si="6"/>
        <v>4963759.5</v>
      </c>
      <c r="F40" s="44"/>
      <c r="G40" s="32">
        <f t="shared" si="7"/>
        <v>0</v>
      </c>
      <c r="H40" s="45"/>
      <c r="I40" s="32">
        <f t="shared" si="8"/>
        <v>0</v>
      </c>
      <c r="J40" s="32">
        <f t="shared" si="3"/>
        <v>1941134.9999999998</v>
      </c>
      <c r="K40" s="32">
        <f t="shared" si="4"/>
        <v>139000</v>
      </c>
      <c r="L40" s="32" t="e">
        <f>+J40-K40-#REF!</f>
        <v>#REF!</v>
      </c>
      <c r="M40" s="32"/>
      <c r="N40" s="34">
        <v>0.18</v>
      </c>
      <c r="O40" s="35">
        <f t="shared" si="0"/>
        <v>0.7182000000000001</v>
      </c>
      <c r="P40" s="32">
        <f t="shared" si="9"/>
        <v>893476.7100000001</v>
      </c>
      <c r="Q40" s="32"/>
      <c r="R40" s="32">
        <f t="shared" si="5"/>
        <v>831915</v>
      </c>
      <c r="S40" s="32"/>
      <c r="T40" s="32"/>
      <c r="U40" s="32"/>
      <c r="V40" s="36"/>
      <c r="W40" s="32"/>
      <c r="X40" s="32"/>
      <c r="Y40" s="32"/>
      <c r="Z40" s="37">
        <f t="shared" si="10"/>
        <v>8769286.21</v>
      </c>
      <c r="AA40" s="38"/>
      <c r="AB40" s="39">
        <f t="shared" si="2"/>
        <v>65443.98000000001</v>
      </c>
      <c r="AC40" s="40"/>
    </row>
    <row r="41" spans="1:29" s="41" customFormat="1" ht="16.5" customHeight="1">
      <c r="A41" s="28" t="s">
        <v>52</v>
      </c>
      <c r="B41" s="42" t="s">
        <v>1</v>
      </c>
      <c r="C41" s="30" t="s">
        <v>164</v>
      </c>
      <c r="D41" s="51">
        <v>3.66</v>
      </c>
      <c r="E41" s="32">
        <f t="shared" si="6"/>
        <v>4553223</v>
      </c>
      <c r="F41" s="44"/>
      <c r="G41" s="32">
        <f t="shared" si="7"/>
        <v>0</v>
      </c>
      <c r="H41" s="45">
        <v>0.15</v>
      </c>
      <c r="I41" s="32">
        <f t="shared" si="8"/>
        <v>186607.5</v>
      </c>
      <c r="J41" s="32">
        <f t="shared" si="3"/>
        <v>1853564.9999999998</v>
      </c>
      <c r="K41" s="32">
        <f t="shared" si="4"/>
        <v>139000</v>
      </c>
      <c r="L41" s="32" t="e">
        <f>+J41-K41-#REF!</f>
        <v>#REF!</v>
      </c>
      <c r="M41" s="32"/>
      <c r="N41" s="34">
        <v>0.17</v>
      </c>
      <c r="O41" s="35">
        <f t="shared" si="0"/>
        <v>0.6477</v>
      </c>
      <c r="P41" s="32">
        <f t="shared" si="9"/>
        <v>805771.1850000002</v>
      </c>
      <c r="Q41" s="32"/>
      <c r="R41" s="32">
        <f t="shared" si="5"/>
        <v>794385</v>
      </c>
      <c r="S41" s="32"/>
      <c r="T41" s="32"/>
      <c r="U41" s="32"/>
      <c r="V41" s="36"/>
      <c r="W41" s="32"/>
      <c r="X41" s="32"/>
      <c r="Y41" s="32"/>
      <c r="Z41" s="37">
        <f t="shared" si="10"/>
        <v>8332551.6850000005</v>
      </c>
      <c r="AA41" s="38"/>
      <c r="AB41" s="39">
        <f aca="true" t="shared" si="11" ref="AB41:AB58">((O41+H41+D41)*1390000*1%)</f>
        <v>61962.03</v>
      </c>
      <c r="AC41" s="40"/>
    </row>
    <row r="42" spans="1:29" s="41" customFormat="1" ht="16.5" customHeight="1">
      <c r="A42" s="28" t="s">
        <v>53</v>
      </c>
      <c r="B42" s="42" t="s">
        <v>165</v>
      </c>
      <c r="C42" s="30" t="s">
        <v>166</v>
      </c>
      <c r="D42" s="51">
        <v>3.66</v>
      </c>
      <c r="E42" s="32">
        <f t="shared" si="6"/>
        <v>4553223</v>
      </c>
      <c r="F42" s="44"/>
      <c r="G42" s="32">
        <f t="shared" si="7"/>
        <v>0</v>
      </c>
      <c r="H42" s="45"/>
      <c r="I42" s="32">
        <f t="shared" si="8"/>
        <v>0</v>
      </c>
      <c r="J42" s="32">
        <f t="shared" si="3"/>
        <v>1780590</v>
      </c>
      <c r="K42" s="32">
        <f t="shared" si="4"/>
        <v>139000</v>
      </c>
      <c r="L42" s="32" t="e">
        <f>+J42-K42-#REF!</f>
        <v>#REF!</v>
      </c>
      <c r="M42" s="32"/>
      <c r="N42" s="34">
        <v>0.17</v>
      </c>
      <c r="O42" s="35">
        <f t="shared" si="0"/>
        <v>0.6222000000000001</v>
      </c>
      <c r="P42" s="32">
        <f t="shared" si="9"/>
        <v>774047.9100000001</v>
      </c>
      <c r="Q42" s="32"/>
      <c r="R42" s="32">
        <f t="shared" si="5"/>
        <v>763110</v>
      </c>
      <c r="S42" s="32"/>
      <c r="T42" s="32"/>
      <c r="U42" s="32"/>
      <c r="V42" s="36"/>
      <c r="W42" s="32"/>
      <c r="X42" s="32"/>
      <c r="Y42" s="32"/>
      <c r="Z42" s="37">
        <f t="shared" si="10"/>
        <v>8009970.91</v>
      </c>
      <c r="AA42" s="38"/>
      <c r="AB42" s="39">
        <f t="shared" si="11"/>
        <v>59522.58000000001</v>
      </c>
      <c r="AC42" s="40"/>
    </row>
    <row r="43" spans="1:29" s="41" customFormat="1" ht="16.5" customHeight="1">
      <c r="A43" s="28" t="s">
        <v>54</v>
      </c>
      <c r="B43" s="42" t="s">
        <v>6</v>
      </c>
      <c r="C43" s="30" t="s">
        <v>167</v>
      </c>
      <c r="D43" s="51">
        <v>3.99</v>
      </c>
      <c r="E43" s="32">
        <f t="shared" si="6"/>
        <v>4963759.5</v>
      </c>
      <c r="F43" s="44"/>
      <c r="G43" s="32">
        <f t="shared" si="7"/>
        <v>0</v>
      </c>
      <c r="H43" s="45"/>
      <c r="I43" s="32">
        <f t="shared" si="8"/>
        <v>0</v>
      </c>
      <c r="J43" s="32"/>
      <c r="K43" s="32">
        <f t="shared" si="4"/>
        <v>139000</v>
      </c>
      <c r="L43" s="32" t="e">
        <f>+J43-K43-#REF!</f>
        <v>#REF!</v>
      </c>
      <c r="M43" s="32"/>
      <c r="N43" s="34">
        <v>0.2</v>
      </c>
      <c r="O43" s="35">
        <f t="shared" si="0"/>
        <v>0.798</v>
      </c>
      <c r="P43" s="32">
        <f t="shared" si="9"/>
        <v>992751.9</v>
      </c>
      <c r="Q43" s="32"/>
      <c r="R43" s="32"/>
      <c r="S43" s="32"/>
      <c r="T43" s="32"/>
      <c r="U43" s="32"/>
      <c r="V43" s="36">
        <f>(D43+F43+H43)*1390000*30%</f>
        <v>1663830</v>
      </c>
      <c r="W43" s="32"/>
      <c r="X43" s="32"/>
      <c r="Y43" s="32"/>
      <c r="Z43" s="37">
        <f t="shared" si="10"/>
        <v>7759341.4</v>
      </c>
      <c r="AA43" s="38"/>
      <c r="AB43" s="39">
        <f t="shared" si="11"/>
        <v>66553.2</v>
      </c>
      <c r="AC43" s="40"/>
    </row>
    <row r="44" spans="1:29" s="41" customFormat="1" ht="16.5" customHeight="1">
      <c r="A44" s="28" t="s">
        <v>55</v>
      </c>
      <c r="B44" s="42" t="s">
        <v>12</v>
      </c>
      <c r="C44" s="30" t="s">
        <v>168</v>
      </c>
      <c r="D44" s="58">
        <v>3</v>
      </c>
      <c r="E44" s="32">
        <f t="shared" si="6"/>
        <v>3732150</v>
      </c>
      <c r="F44" s="44"/>
      <c r="G44" s="32">
        <f t="shared" si="7"/>
        <v>0</v>
      </c>
      <c r="H44" s="45"/>
      <c r="I44" s="32">
        <f t="shared" si="8"/>
        <v>0</v>
      </c>
      <c r="J44" s="32">
        <f t="shared" si="3"/>
        <v>1459500</v>
      </c>
      <c r="K44" s="32">
        <f t="shared" si="4"/>
        <v>139000</v>
      </c>
      <c r="L44" s="32" t="e">
        <f>+J44-K44-#REF!</f>
        <v>#REF!</v>
      </c>
      <c r="M44" s="32"/>
      <c r="N44" s="34">
        <v>0.07</v>
      </c>
      <c r="O44" s="35">
        <f t="shared" si="0"/>
        <v>0.21000000000000002</v>
      </c>
      <c r="P44" s="32">
        <f t="shared" si="9"/>
        <v>261250.5</v>
      </c>
      <c r="Q44" s="32"/>
      <c r="R44" s="32">
        <f t="shared" si="5"/>
        <v>625500</v>
      </c>
      <c r="S44" s="32"/>
      <c r="T44" s="32"/>
      <c r="U44" s="32"/>
      <c r="V44" s="36"/>
      <c r="W44" s="32"/>
      <c r="X44" s="32"/>
      <c r="Y44" s="32"/>
      <c r="Z44" s="37">
        <f t="shared" si="10"/>
        <v>6217400.5</v>
      </c>
      <c r="AA44" s="38"/>
      <c r="AB44" s="39">
        <f t="shared" si="11"/>
        <v>44619</v>
      </c>
      <c r="AC44" s="40"/>
    </row>
    <row r="45" spans="1:29" s="41" customFormat="1" ht="16.5" customHeight="1">
      <c r="A45" s="28" t="s">
        <v>56</v>
      </c>
      <c r="B45" s="42" t="s">
        <v>14</v>
      </c>
      <c r="C45" s="57" t="s">
        <v>169</v>
      </c>
      <c r="D45" s="51">
        <v>2.67</v>
      </c>
      <c r="E45" s="32">
        <f t="shared" si="6"/>
        <v>3321613.5</v>
      </c>
      <c r="F45" s="44"/>
      <c r="G45" s="32">
        <f t="shared" si="7"/>
        <v>0</v>
      </c>
      <c r="H45" s="45"/>
      <c r="I45" s="32">
        <f t="shared" si="8"/>
        <v>0</v>
      </c>
      <c r="J45" s="32">
        <f t="shared" si="3"/>
        <v>1298955</v>
      </c>
      <c r="K45" s="32">
        <f t="shared" si="4"/>
        <v>139000</v>
      </c>
      <c r="L45" s="32" t="e">
        <f>+J45-K45-#REF!</f>
        <v>#REF!</v>
      </c>
      <c r="M45" s="32"/>
      <c r="N45" s="34"/>
      <c r="O45" s="35">
        <f t="shared" si="0"/>
        <v>0</v>
      </c>
      <c r="P45" s="32">
        <f t="shared" si="9"/>
        <v>0</v>
      </c>
      <c r="Q45" s="32"/>
      <c r="R45" s="32">
        <f t="shared" si="5"/>
        <v>556695</v>
      </c>
      <c r="S45" s="32"/>
      <c r="T45" s="32"/>
      <c r="U45" s="32"/>
      <c r="V45" s="36"/>
      <c r="W45" s="32"/>
      <c r="X45" s="32"/>
      <c r="Y45" s="32"/>
      <c r="Z45" s="37">
        <f t="shared" si="10"/>
        <v>5316263.5</v>
      </c>
      <c r="AA45" s="38"/>
      <c r="AB45" s="39">
        <f t="shared" si="11"/>
        <v>37113</v>
      </c>
      <c r="AC45" s="40"/>
    </row>
    <row r="46" spans="1:29" s="41" customFormat="1" ht="16.5" customHeight="1">
      <c r="A46" s="28" t="s">
        <v>57</v>
      </c>
      <c r="B46" s="42" t="s">
        <v>11</v>
      </c>
      <c r="C46" s="30" t="s">
        <v>170</v>
      </c>
      <c r="D46" s="51">
        <v>2.67</v>
      </c>
      <c r="E46" s="32">
        <f t="shared" si="6"/>
        <v>3321613.5</v>
      </c>
      <c r="F46" s="44"/>
      <c r="G46" s="32">
        <f t="shared" si="7"/>
        <v>0</v>
      </c>
      <c r="H46" s="45"/>
      <c r="I46" s="32">
        <f t="shared" si="8"/>
        <v>0</v>
      </c>
      <c r="J46" s="32">
        <f t="shared" si="3"/>
        <v>1298955</v>
      </c>
      <c r="K46" s="32">
        <f t="shared" si="4"/>
        <v>139000</v>
      </c>
      <c r="L46" s="32" t="e">
        <f>+J46-K46-#REF!</f>
        <v>#REF!</v>
      </c>
      <c r="M46" s="32"/>
      <c r="N46" s="34"/>
      <c r="O46" s="35">
        <f t="shared" si="0"/>
        <v>0</v>
      </c>
      <c r="P46" s="32">
        <f t="shared" si="9"/>
        <v>0</v>
      </c>
      <c r="Q46" s="32"/>
      <c r="R46" s="32">
        <f t="shared" si="5"/>
        <v>556695</v>
      </c>
      <c r="S46" s="32"/>
      <c r="T46" s="32"/>
      <c r="U46" s="32"/>
      <c r="V46" s="36"/>
      <c r="W46" s="32"/>
      <c r="X46" s="32"/>
      <c r="Y46" s="32"/>
      <c r="Z46" s="37">
        <f t="shared" si="10"/>
        <v>5316263.5</v>
      </c>
      <c r="AA46" s="38"/>
      <c r="AB46" s="39">
        <f t="shared" si="11"/>
        <v>37113</v>
      </c>
      <c r="AC46" s="40"/>
    </row>
    <row r="47" spans="1:29" s="41" customFormat="1" ht="16.5" customHeight="1">
      <c r="A47" s="28" t="s">
        <v>58</v>
      </c>
      <c r="B47" s="42" t="s">
        <v>15</v>
      </c>
      <c r="C47" s="30" t="s">
        <v>171</v>
      </c>
      <c r="D47" s="51">
        <v>2.67</v>
      </c>
      <c r="E47" s="32">
        <f t="shared" si="6"/>
        <v>3321613.5</v>
      </c>
      <c r="F47" s="44"/>
      <c r="G47" s="32">
        <f t="shared" si="7"/>
        <v>0</v>
      </c>
      <c r="H47" s="45">
        <v>0.2</v>
      </c>
      <c r="I47" s="32">
        <f t="shared" si="8"/>
        <v>248810</v>
      </c>
      <c r="J47" s="32">
        <f t="shared" si="3"/>
        <v>1396255</v>
      </c>
      <c r="K47" s="32">
        <f t="shared" si="4"/>
        <v>139000</v>
      </c>
      <c r="L47" s="32" t="e">
        <f>+J47-K47-#REF!</f>
        <v>#REF!</v>
      </c>
      <c r="M47" s="32"/>
      <c r="N47" s="34"/>
      <c r="O47" s="35">
        <f t="shared" si="0"/>
        <v>0</v>
      </c>
      <c r="P47" s="32">
        <f t="shared" si="9"/>
        <v>0</v>
      </c>
      <c r="Q47" s="32">
        <f>583800</f>
        <v>583800</v>
      </c>
      <c r="R47" s="32">
        <f t="shared" si="5"/>
        <v>598395</v>
      </c>
      <c r="S47" s="32"/>
      <c r="T47" s="32"/>
      <c r="U47" s="32"/>
      <c r="V47" s="36"/>
      <c r="W47" s="32"/>
      <c r="X47" s="32"/>
      <c r="Y47" s="32"/>
      <c r="Z47" s="37">
        <f>E47+G47+I47+J47+K47+M47+P47+R47+S47+U47+V47+W47+T47+Q47</f>
        <v>6287873.5</v>
      </c>
      <c r="AA47" s="38"/>
      <c r="AB47" s="39">
        <f t="shared" si="11"/>
        <v>39893</v>
      </c>
      <c r="AC47" s="40"/>
    </row>
    <row r="48" spans="1:29" s="41" customFormat="1" ht="16.5" customHeight="1">
      <c r="A48" s="28" t="s">
        <v>59</v>
      </c>
      <c r="B48" s="42" t="s">
        <v>7</v>
      </c>
      <c r="C48" s="30" t="s">
        <v>172</v>
      </c>
      <c r="D48" s="51">
        <v>4.27</v>
      </c>
      <c r="E48" s="32">
        <f t="shared" si="6"/>
        <v>5312093.499999999</v>
      </c>
      <c r="F48" s="44"/>
      <c r="G48" s="32">
        <f t="shared" si="7"/>
        <v>0</v>
      </c>
      <c r="H48" s="45"/>
      <c r="I48" s="32">
        <f t="shared" si="8"/>
        <v>0</v>
      </c>
      <c r="J48" s="32">
        <f t="shared" si="3"/>
        <v>2077354.9999999995</v>
      </c>
      <c r="K48" s="32">
        <f t="shared" si="4"/>
        <v>139000</v>
      </c>
      <c r="L48" s="32" t="e">
        <f>+J48-K48-#REF!</f>
        <v>#REF!</v>
      </c>
      <c r="M48" s="32"/>
      <c r="N48" s="34">
        <v>0.22</v>
      </c>
      <c r="O48" s="35">
        <f t="shared" si="0"/>
        <v>0.9393999999999999</v>
      </c>
      <c r="P48" s="32">
        <f t="shared" si="9"/>
        <v>1168660.5699999998</v>
      </c>
      <c r="Q48" s="32"/>
      <c r="R48" s="32">
        <f t="shared" si="5"/>
        <v>890294.9999999999</v>
      </c>
      <c r="S48" s="32"/>
      <c r="T48" s="32"/>
      <c r="U48" s="32"/>
      <c r="V48" s="36"/>
      <c r="W48" s="32"/>
      <c r="X48" s="32"/>
      <c r="Y48" s="32"/>
      <c r="Z48" s="37">
        <f aca="true" t="shared" si="12" ref="Z48:Z57">E48+G48+I48+J48+K48+M48+P48+R48+S48+U48+V48+W48+T48</f>
        <v>9587404.069999998</v>
      </c>
      <c r="AA48" s="38"/>
      <c r="AB48" s="39">
        <f t="shared" si="11"/>
        <v>72410.65999999999</v>
      </c>
      <c r="AC48" s="40"/>
    </row>
    <row r="49" spans="1:29" s="41" customFormat="1" ht="16.5" customHeight="1">
      <c r="A49" s="28" t="s">
        <v>60</v>
      </c>
      <c r="B49" s="42" t="s">
        <v>8</v>
      </c>
      <c r="C49" s="30" t="s">
        <v>173</v>
      </c>
      <c r="D49" s="51">
        <v>3.66</v>
      </c>
      <c r="E49" s="32">
        <f t="shared" si="6"/>
        <v>4553223</v>
      </c>
      <c r="F49" s="44"/>
      <c r="G49" s="32">
        <f t="shared" si="7"/>
        <v>0</v>
      </c>
      <c r="H49" s="45"/>
      <c r="I49" s="32">
        <f t="shared" si="8"/>
        <v>0</v>
      </c>
      <c r="J49" s="32">
        <f t="shared" si="3"/>
        <v>1780590</v>
      </c>
      <c r="K49" s="32">
        <f t="shared" si="4"/>
        <v>139000</v>
      </c>
      <c r="L49" s="32" t="e">
        <f>+J49-K49-#REF!</f>
        <v>#REF!</v>
      </c>
      <c r="M49" s="32"/>
      <c r="N49" s="34">
        <v>0.17</v>
      </c>
      <c r="O49" s="35">
        <f t="shared" si="0"/>
        <v>0.6222000000000001</v>
      </c>
      <c r="P49" s="32">
        <f t="shared" si="9"/>
        <v>774047.9100000001</v>
      </c>
      <c r="Q49" s="32"/>
      <c r="R49" s="32">
        <f t="shared" si="5"/>
        <v>763110</v>
      </c>
      <c r="S49" s="32"/>
      <c r="T49" s="32"/>
      <c r="U49" s="32"/>
      <c r="V49" s="36"/>
      <c r="W49" s="32"/>
      <c r="X49" s="32"/>
      <c r="Y49" s="32"/>
      <c r="Z49" s="37">
        <f t="shared" si="12"/>
        <v>8009970.91</v>
      </c>
      <c r="AA49" s="38"/>
      <c r="AB49" s="39">
        <f t="shared" si="11"/>
        <v>59522.58000000001</v>
      </c>
      <c r="AC49" s="40"/>
    </row>
    <row r="50" spans="1:29" s="41" customFormat="1" ht="16.5" customHeight="1">
      <c r="A50" s="28" t="s">
        <v>61</v>
      </c>
      <c r="B50" s="59" t="s">
        <v>9</v>
      </c>
      <c r="C50" s="57" t="s">
        <v>174</v>
      </c>
      <c r="D50" s="46">
        <v>2.67</v>
      </c>
      <c r="E50" s="32"/>
      <c r="F50" s="44"/>
      <c r="G50" s="32">
        <f t="shared" si="7"/>
        <v>0</v>
      </c>
      <c r="H50" s="45"/>
      <c r="I50" s="32">
        <f t="shared" si="8"/>
        <v>0</v>
      </c>
      <c r="J50" s="32">
        <f t="shared" si="3"/>
        <v>1298955</v>
      </c>
      <c r="K50" s="32">
        <f t="shared" si="4"/>
        <v>139000</v>
      </c>
      <c r="L50" s="32" t="e">
        <f>+J50-K50-#REF!</f>
        <v>#REF!</v>
      </c>
      <c r="M50" s="32"/>
      <c r="N50" s="60"/>
      <c r="O50" s="35">
        <f t="shared" si="0"/>
        <v>0</v>
      </c>
      <c r="P50" s="32">
        <f t="shared" si="9"/>
        <v>0</v>
      </c>
      <c r="Q50" s="32"/>
      <c r="R50" s="32">
        <f t="shared" si="5"/>
        <v>556695</v>
      </c>
      <c r="S50" s="32">
        <f>D50*70%*1390000</f>
        <v>2597909.9999999995</v>
      </c>
      <c r="T50" s="32"/>
      <c r="U50" s="32"/>
      <c r="V50" s="36"/>
      <c r="W50" s="32"/>
      <c r="X50" s="32"/>
      <c r="Y50" s="32"/>
      <c r="Z50" s="37">
        <f t="shared" si="12"/>
        <v>4592560</v>
      </c>
      <c r="AA50" s="38"/>
      <c r="AB50" s="39">
        <f t="shared" si="11"/>
        <v>37113</v>
      </c>
      <c r="AC50" s="40"/>
    </row>
    <row r="51" spans="1:29" s="41" customFormat="1" ht="16.5" customHeight="1">
      <c r="A51" s="28" t="s">
        <v>62</v>
      </c>
      <c r="B51" s="479" t="s">
        <v>10</v>
      </c>
      <c r="C51" s="61" t="s">
        <v>175</v>
      </c>
      <c r="D51" s="46">
        <v>2.41</v>
      </c>
      <c r="E51" s="32">
        <f t="shared" si="6"/>
        <v>2998160.5</v>
      </c>
      <c r="F51" s="44"/>
      <c r="G51" s="32">
        <f t="shared" si="7"/>
        <v>0</v>
      </c>
      <c r="H51" s="45"/>
      <c r="I51" s="32">
        <f t="shared" si="8"/>
        <v>0</v>
      </c>
      <c r="J51" s="32">
        <f t="shared" si="3"/>
        <v>1172465</v>
      </c>
      <c r="K51" s="32">
        <f t="shared" si="4"/>
        <v>139000</v>
      </c>
      <c r="L51" s="32" t="e">
        <f>+J51-K51-#REF!</f>
        <v>#REF!</v>
      </c>
      <c r="M51" s="32"/>
      <c r="N51" s="34"/>
      <c r="O51" s="35">
        <f t="shared" si="0"/>
        <v>0</v>
      </c>
      <c r="P51" s="32">
        <f t="shared" si="9"/>
        <v>0</v>
      </c>
      <c r="Q51" s="32"/>
      <c r="R51" s="32">
        <f t="shared" si="5"/>
        <v>502485</v>
      </c>
      <c r="S51" s="32"/>
      <c r="T51" s="32"/>
      <c r="U51" s="32"/>
      <c r="V51" s="36"/>
      <c r="W51" s="32"/>
      <c r="X51" s="32"/>
      <c r="Y51" s="32"/>
      <c r="Z51" s="37">
        <f t="shared" si="12"/>
        <v>4812110.5</v>
      </c>
      <c r="AA51" s="38"/>
      <c r="AB51" s="39">
        <f t="shared" si="11"/>
        <v>33499</v>
      </c>
      <c r="AC51" s="40"/>
    </row>
    <row r="52" spans="1:29" s="41" customFormat="1" ht="16.5" customHeight="1">
      <c r="A52" s="28" t="s">
        <v>63</v>
      </c>
      <c r="B52" s="42" t="s">
        <v>176</v>
      </c>
      <c r="C52" s="61" t="s">
        <v>177</v>
      </c>
      <c r="D52" s="43">
        <v>3.99</v>
      </c>
      <c r="E52" s="32">
        <f t="shared" si="6"/>
        <v>4963759.5</v>
      </c>
      <c r="F52" s="44"/>
      <c r="G52" s="32">
        <f t="shared" si="7"/>
        <v>0</v>
      </c>
      <c r="H52" s="45"/>
      <c r="I52" s="32">
        <f t="shared" si="8"/>
        <v>0</v>
      </c>
      <c r="J52" s="32">
        <f t="shared" si="3"/>
        <v>1941134.9999999998</v>
      </c>
      <c r="K52" s="32">
        <f t="shared" si="4"/>
        <v>139000</v>
      </c>
      <c r="L52" s="32" t="e">
        <f>+J52-K52-#REF!</f>
        <v>#REF!</v>
      </c>
      <c r="M52" s="32"/>
      <c r="N52" s="34">
        <v>0.2</v>
      </c>
      <c r="O52" s="35">
        <f t="shared" si="0"/>
        <v>0.798</v>
      </c>
      <c r="P52" s="32">
        <f t="shared" si="9"/>
        <v>992751.9</v>
      </c>
      <c r="Q52" s="32"/>
      <c r="R52" s="32">
        <f t="shared" si="5"/>
        <v>831915</v>
      </c>
      <c r="S52" s="32"/>
      <c r="T52" s="32"/>
      <c r="U52" s="32"/>
      <c r="V52" s="36"/>
      <c r="W52" s="32"/>
      <c r="X52" s="32"/>
      <c r="Y52" s="32"/>
      <c r="Z52" s="37">
        <f t="shared" si="12"/>
        <v>8868561.4</v>
      </c>
      <c r="AA52" s="38"/>
      <c r="AB52" s="39">
        <f t="shared" si="11"/>
        <v>66553.2</v>
      </c>
      <c r="AC52" s="40"/>
    </row>
    <row r="53" spans="1:29" s="41" customFormat="1" ht="16.5" customHeight="1">
      <c r="A53" s="28" t="s">
        <v>64</v>
      </c>
      <c r="B53" s="42" t="s">
        <v>17</v>
      </c>
      <c r="C53" s="30" t="s">
        <v>178</v>
      </c>
      <c r="D53" s="43">
        <v>3.99</v>
      </c>
      <c r="E53" s="32">
        <f t="shared" si="6"/>
        <v>4963759.5</v>
      </c>
      <c r="F53" s="44"/>
      <c r="G53" s="32">
        <f t="shared" si="7"/>
        <v>0</v>
      </c>
      <c r="H53" s="45"/>
      <c r="I53" s="32">
        <f t="shared" si="8"/>
        <v>0</v>
      </c>
      <c r="J53" s="32">
        <f t="shared" si="3"/>
        <v>1941134.9999999998</v>
      </c>
      <c r="K53" s="32">
        <f t="shared" si="4"/>
        <v>139000</v>
      </c>
      <c r="L53" s="32" t="e">
        <f>+J53-K53-#REF!</f>
        <v>#REF!</v>
      </c>
      <c r="M53" s="32"/>
      <c r="N53" s="34">
        <v>0.2</v>
      </c>
      <c r="O53" s="35">
        <f t="shared" si="0"/>
        <v>0.798</v>
      </c>
      <c r="P53" s="32">
        <f t="shared" si="9"/>
        <v>992751.9</v>
      </c>
      <c r="Q53" s="32"/>
      <c r="R53" s="32">
        <f t="shared" si="5"/>
        <v>831915</v>
      </c>
      <c r="S53" s="32"/>
      <c r="T53" s="32"/>
      <c r="U53" s="32"/>
      <c r="V53" s="36"/>
      <c r="W53" s="32"/>
      <c r="X53" s="32"/>
      <c r="Y53" s="32"/>
      <c r="Z53" s="37">
        <f t="shared" si="12"/>
        <v>8868561.4</v>
      </c>
      <c r="AA53" s="38"/>
      <c r="AB53" s="39">
        <f t="shared" si="11"/>
        <v>66553.2</v>
      </c>
      <c r="AC53" s="40"/>
    </row>
    <row r="54" spans="1:29" s="41" customFormat="1" ht="16.5" customHeight="1">
      <c r="A54" s="28" t="s">
        <v>65</v>
      </c>
      <c r="B54" s="42" t="s">
        <v>179</v>
      </c>
      <c r="C54" s="30" t="s">
        <v>180</v>
      </c>
      <c r="D54" s="43">
        <v>3.06</v>
      </c>
      <c r="E54" s="32">
        <f t="shared" si="6"/>
        <v>3806793</v>
      </c>
      <c r="F54" s="44"/>
      <c r="G54" s="32">
        <f t="shared" si="7"/>
        <v>0</v>
      </c>
      <c r="H54" s="45"/>
      <c r="I54" s="32">
        <f t="shared" si="8"/>
        <v>0</v>
      </c>
      <c r="J54" s="32"/>
      <c r="K54" s="32">
        <f t="shared" si="4"/>
        <v>139000</v>
      </c>
      <c r="L54" s="32" t="e">
        <f>+J54-K54-#REF!</f>
        <v>#REF!</v>
      </c>
      <c r="M54" s="32">
        <f>0.2*1390000</f>
        <v>278000</v>
      </c>
      <c r="N54" s="34"/>
      <c r="O54" s="35">
        <f t="shared" si="0"/>
        <v>0</v>
      </c>
      <c r="P54" s="32">
        <f t="shared" si="9"/>
        <v>0</v>
      </c>
      <c r="Q54" s="32"/>
      <c r="R54" s="32"/>
      <c r="S54" s="32"/>
      <c r="T54" s="32"/>
      <c r="U54" s="32"/>
      <c r="V54" s="36"/>
      <c r="W54" s="32"/>
      <c r="X54" s="32"/>
      <c r="Y54" s="32"/>
      <c r="Z54" s="37">
        <f>E54+G54+I54+J54+K54+M54+P54+R54+S54+U54+V54+W54+T54-3</f>
        <v>4223790</v>
      </c>
      <c r="AA54" s="38"/>
      <c r="AB54" s="39">
        <f t="shared" si="11"/>
        <v>42534</v>
      </c>
      <c r="AC54" s="40"/>
    </row>
    <row r="55" spans="1:29" s="41" customFormat="1" ht="16.5" customHeight="1">
      <c r="A55" s="28" t="s">
        <v>66</v>
      </c>
      <c r="B55" s="42" t="s">
        <v>18</v>
      </c>
      <c r="C55" s="30" t="s">
        <v>181</v>
      </c>
      <c r="D55" s="62">
        <v>1.5</v>
      </c>
      <c r="E55" s="32">
        <f t="shared" si="6"/>
        <v>1866075</v>
      </c>
      <c r="F55" s="32"/>
      <c r="G55" s="32">
        <f t="shared" si="7"/>
        <v>0</v>
      </c>
      <c r="H55" s="63"/>
      <c r="I55" s="32">
        <f t="shared" si="8"/>
        <v>0</v>
      </c>
      <c r="J55" s="32"/>
      <c r="K55" s="32">
        <f t="shared" si="4"/>
        <v>139000</v>
      </c>
      <c r="L55" s="32" t="e">
        <f>+J55-K55-#REF!</f>
        <v>#REF!</v>
      </c>
      <c r="M55" s="32"/>
      <c r="N55" s="64"/>
      <c r="O55" s="35">
        <f t="shared" si="0"/>
        <v>0</v>
      </c>
      <c r="P55" s="32">
        <f t="shared" si="9"/>
        <v>0</v>
      </c>
      <c r="Q55" s="32"/>
      <c r="R55" s="32"/>
      <c r="S55" s="32"/>
      <c r="T55" s="32"/>
      <c r="U55" s="32"/>
      <c r="V55" s="36"/>
      <c r="W55" s="32">
        <v>600000</v>
      </c>
      <c r="X55" s="32"/>
      <c r="Y55" s="32"/>
      <c r="Z55" s="37">
        <f t="shared" si="12"/>
        <v>2605075</v>
      </c>
      <c r="AA55" s="38"/>
      <c r="AB55" s="39">
        <f t="shared" si="11"/>
        <v>20850</v>
      </c>
      <c r="AC55" s="40"/>
    </row>
    <row r="56" spans="1:29" s="41" customFormat="1" ht="16.5" customHeight="1">
      <c r="A56" s="28" t="s">
        <v>67</v>
      </c>
      <c r="B56" s="42" t="s">
        <v>182</v>
      </c>
      <c r="C56" s="30" t="s">
        <v>183</v>
      </c>
      <c r="D56" s="65">
        <v>2.62</v>
      </c>
      <c r="E56" s="32">
        <f t="shared" si="6"/>
        <v>3259411</v>
      </c>
      <c r="F56" s="32"/>
      <c r="G56" s="32">
        <f t="shared" si="7"/>
        <v>0</v>
      </c>
      <c r="H56" s="63"/>
      <c r="I56" s="32">
        <f t="shared" si="8"/>
        <v>0</v>
      </c>
      <c r="J56" s="32"/>
      <c r="K56" s="32">
        <f t="shared" si="4"/>
        <v>139000</v>
      </c>
      <c r="L56" s="32" t="e">
        <f>+J56-K56-#REF!</f>
        <v>#REF!</v>
      </c>
      <c r="M56" s="32"/>
      <c r="N56" s="64"/>
      <c r="O56" s="35">
        <f t="shared" si="0"/>
        <v>0</v>
      </c>
      <c r="P56" s="32">
        <f t="shared" si="9"/>
        <v>0</v>
      </c>
      <c r="Q56" s="32"/>
      <c r="R56" s="32"/>
      <c r="S56" s="32"/>
      <c r="T56" s="32"/>
      <c r="U56" s="32"/>
      <c r="V56" s="36"/>
      <c r="W56" s="32">
        <v>500000</v>
      </c>
      <c r="X56" s="32"/>
      <c r="Y56" s="32"/>
      <c r="Z56" s="37">
        <f t="shared" si="12"/>
        <v>3898411</v>
      </c>
      <c r="AA56" s="38"/>
      <c r="AB56" s="39">
        <f t="shared" si="11"/>
        <v>36418</v>
      </c>
      <c r="AC56" s="40"/>
    </row>
    <row r="57" spans="1:29" s="41" customFormat="1" ht="16.5" customHeight="1">
      <c r="A57" s="28" t="s">
        <v>68</v>
      </c>
      <c r="B57" s="42" t="s">
        <v>4</v>
      </c>
      <c r="C57" s="57" t="s">
        <v>184</v>
      </c>
      <c r="D57" s="65">
        <v>2.22</v>
      </c>
      <c r="E57" s="32">
        <f t="shared" si="6"/>
        <v>2761791.0000000005</v>
      </c>
      <c r="F57" s="32"/>
      <c r="G57" s="32">
        <f t="shared" si="7"/>
        <v>0</v>
      </c>
      <c r="H57" s="63"/>
      <c r="I57" s="32">
        <f t="shared" si="8"/>
        <v>0</v>
      </c>
      <c r="J57" s="32"/>
      <c r="K57" s="32">
        <f t="shared" si="4"/>
        <v>139000</v>
      </c>
      <c r="L57" s="32" t="e">
        <f>+J57-K57-#REF!</f>
        <v>#REF!</v>
      </c>
      <c r="M57" s="32"/>
      <c r="N57" s="64"/>
      <c r="O57" s="35">
        <f t="shared" si="0"/>
        <v>0</v>
      </c>
      <c r="P57" s="32">
        <f t="shared" si="9"/>
        <v>0</v>
      </c>
      <c r="Q57" s="32"/>
      <c r="R57" s="32"/>
      <c r="S57" s="32"/>
      <c r="T57" s="32"/>
      <c r="U57" s="32"/>
      <c r="V57" s="36"/>
      <c r="W57" s="32">
        <v>600000</v>
      </c>
      <c r="X57" s="32"/>
      <c r="Y57" s="32"/>
      <c r="Z57" s="37">
        <f t="shared" si="12"/>
        <v>3500791.0000000005</v>
      </c>
      <c r="AA57" s="38"/>
      <c r="AB57" s="39">
        <f t="shared" si="11"/>
        <v>30858.000000000004</v>
      </c>
      <c r="AC57" s="40"/>
    </row>
    <row r="58" spans="1:29" s="41" customFormat="1" ht="23.25" customHeight="1">
      <c r="A58" s="66"/>
      <c r="B58" s="67" t="s">
        <v>185</v>
      </c>
      <c r="C58" s="68"/>
      <c r="D58" s="69">
        <f>SUM(D9:D57)</f>
        <v>193.36999999999998</v>
      </c>
      <c r="E58" s="70">
        <f>SUM(E8:E57)</f>
        <v>237304971</v>
      </c>
      <c r="F58" s="71">
        <f>SUM(F9:F57)</f>
        <v>1.015</v>
      </c>
      <c r="G58" s="72">
        <f>SUM(G9:G57)</f>
        <v>1262710.7499999998</v>
      </c>
      <c r="H58" s="69">
        <f>SUM(H9:H57)</f>
        <v>3.0000000000000004</v>
      </c>
      <c r="I58" s="72">
        <f>SUM(I9:I57)</f>
        <v>3739100</v>
      </c>
      <c r="J58" s="72">
        <f>SUM(J9:J57)-1</f>
        <v>80693224.2</v>
      </c>
      <c r="K58" s="72">
        <f aca="true" t="shared" si="13" ref="K58:Q58">SUM(K9:K57)</f>
        <v>6811000</v>
      </c>
      <c r="L58" s="71" t="e">
        <f t="shared" si="13"/>
        <v>#REF!</v>
      </c>
      <c r="M58" s="72">
        <f t="shared" si="13"/>
        <v>695000</v>
      </c>
      <c r="N58" s="72">
        <f t="shared" si="13"/>
        <v>9.170000000000002</v>
      </c>
      <c r="O58" s="73">
        <f t="shared" si="13"/>
        <v>40.84219600000001</v>
      </c>
      <c r="P58" s="72">
        <f t="shared" si="13"/>
        <v>50828346.033800006</v>
      </c>
      <c r="Q58" s="72">
        <f t="shared" si="13"/>
        <v>1223200</v>
      </c>
      <c r="R58" s="72">
        <f>SUM(R9:R57)-1</f>
        <v>34582809.8</v>
      </c>
      <c r="S58" s="72">
        <f aca="true" t="shared" si="14" ref="S58:Y58">SUM(S9:S57)</f>
        <v>2597909.9999999995</v>
      </c>
      <c r="T58" s="72">
        <f t="shared" si="14"/>
        <v>417000</v>
      </c>
      <c r="U58" s="72">
        <f t="shared" si="14"/>
        <v>278000</v>
      </c>
      <c r="V58" s="72">
        <f t="shared" si="14"/>
        <v>9224123.399999999</v>
      </c>
      <c r="W58" s="72">
        <f t="shared" si="14"/>
        <v>1700000</v>
      </c>
      <c r="X58" s="72">
        <f t="shared" si="14"/>
        <v>0</v>
      </c>
      <c r="Y58" s="72">
        <f t="shared" si="14"/>
        <v>0</v>
      </c>
      <c r="Z58" s="72">
        <f>SUM(Z9:Z57)</f>
        <v>431357393.1837999</v>
      </c>
      <c r="AA58" s="74"/>
      <c r="AB58" s="75">
        <f t="shared" si="11"/>
        <v>3297249.5244</v>
      </c>
      <c r="AC58" s="76"/>
    </row>
    <row r="59" spans="1:28" ht="15.75">
      <c r="A59" s="77"/>
      <c r="B59" s="78"/>
      <c r="C59" s="78"/>
      <c r="D59" s="78"/>
      <c r="E59" s="78"/>
      <c r="F59" s="78"/>
      <c r="G59" s="78"/>
      <c r="H59" s="78"/>
      <c r="I59" s="78"/>
      <c r="J59" s="78"/>
      <c r="K59" s="79"/>
      <c r="L59" s="79"/>
      <c r="M59" s="78"/>
      <c r="N59" s="78"/>
      <c r="O59" s="80"/>
      <c r="P59" s="81"/>
      <c r="Q59" s="81"/>
      <c r="R59" s="82"/>
      <c r="S59" s="78"/>
      <c r="T59" s="78"/>
      <c r="U59" s="78"/>
      <c r="V59" s="83"/>
      <c r="W59" s="82"/>
      <c r="X59" s="78"/>
      <c r="Y59" s="78"/>
      <c r="Z59" s="82"/>
      <c r="AA59" s="78"/>
      <c r="AB59" s="39"/>
    </row>
    <row r="60" spans="1:29" ht="15.75">
      <c r="A60" s="84"/>
      <c r="B60" s="85"/>
      <c r="E60" s="82"/>
      <c r="F60" s="82"/>
      <c r="G60" s="82"/>
      <c r="H60" s="82"/>
      <c r="I60" s="82"/>
      <c r="J60" s="86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304" t="s">
        <v>334</v>
      </c>
      <c r="V60" s="304"/>
      <c r="W60" s="304"/>
      <c r="X60" s="304"/>
      <c r="Y60" s="304"/>
      <c r="Z60" s="304"/>
      <c r="AA60" s="304"/>
      <c r="AB60" s="87"/>
      <c r="AC60" s="82"/>
    </row>
    <row r="61" spans="2:28" ht="15.75">
      <c r="B61" s="324" t="s">
        <v>186</v>
      </c>
      <c r="C61" s="324"/>
      <c r="D61" s="324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40"/>
      <c r="V61" s="88"/>
      <c r="W61" s="89" t="s">
        <v>187</v>
      </c>
      <c r="X61" s="89"/>
      <c r="Y61" s="89"/>
      <c r="Z61" s="89"/>
      <c r="AA61" s="89"/>
      <c r="AB61" s="90"/>
    </row>
    <row r="62" spans="1:28" ht="15.75">
      <c r="A62" s="91"/>
      <c r="E62" s="81"/>
      <c r="F62" s="91"/>
      <c r="G62" s="91"/>
      <c r="H62" s="91"/>
      <c r="I62" s="92"/>
      <c r="J62" s="92"/>
      <c r="K62" s="82"/>
      <c r="L62" s="86"/>
      <c r="M62" s="91"/>
      <c r="N62" s="91"/>
      <c r="O62" s="91"/>
      <c r="P62" s="81"/>
      <c r="Q62" s="81"/>
      <c r="R62" s="91"/>
      <c r="S62" s="91"/>
      <c r="T62" s="91"/>
      <c r="Z62" s="93"/>
      <c r="AB62" s="87"/>
    </row>
    <row r="63" spans="1:28" ht="15.75">
      <c r="A63" s="91"/>
      <c r="E63" s="81"/>
      <c r="F63" s="91"/>
      <c r="G63" s="91"/>
      <c r="H63" s="91"/>
      <c r="I63" s="92"/>
      <c r="J63" s="92"/>
      <c r="K63" s="82"/>
      <c r="L63" s="86"/>
      <c r="M63" s="91"/>
      <c r="N63" s="91"/>
      <c r="O63" s="91"/>
      <c r="P63" s="81"/>
      <c r="Q63" s="81"/>
      <c r="R63" s="91"/>
      <c r="S63" s="91"/>
      <c r="T63" s="91"/>
      <c r="Z63" s="93"/>
      <c r="AB63" s="87"/>
    </row>
    <row r="64" spans="1:28" ht="15.75">
      <c r="A64" s="91"/>
      <c r="E64" s="81"/>
      <c r="F64" s="91"/>
      <c r="G64" s="91"/>
      <c r="H64" s="91"/>
      <c r="I64" s="92"/>
      <c r="J64" s="92"/>
      <c r="K64" s="82"/>
      <c r="L64" s="86"/>
      <c r="M64" s="91"/>
      <c r="N64" s="91"/>
      <c r="O64" s="91"/>
      <c r="P64" s="81"/>
      <c r="Q64" s="81"/>
      <c r="R64" s="91"/>
      <c r="S64" s="91"/>
      <c r="T64" s="91"/>
      <c r="Z64" s="93"/>
      <c r="AB64" s="87"/>
    </row>
    <row r="65" spans="3:26" ht="15.75">
      <c r="C65" s="94"/>
      <c r="E65" s="40"/>
      <c r="I65" s="95"/>
      <c r="J65" s="95"/>
      <c r="K65" s="82"/>
      <c r="Z65" s="93"/>
    </row>
    <row r="66" spans="5:28" ht="15.75">
      <c r="E66" s="40"/>
      <c r="I66" s="95"/>
      <c r="J66" s="95"/>
      <c r="K66" s="82"/>
      <c r="L66" s="94"/>
      <c r="Z66" s="93"/>
      <c r="AB66" s="87"/>
    </row>
    <row r="67" spans="2:28" s="6" customFormat="1" ht="15.75">
      <c r="B67" s="324" t="s">
        <v>19</v>
      </c>
      <c r="C67" s="324"/>
      <c r="D67" s="324"/>
      <c r="E67" s="76"/>
      <c r="I67" s="96"/>
      <c r="J67" s="96"/>
      <c r="V67" s="97"/>
      <c r="W67" s="89" t="s">
        <v>2</v>
      </c>
      <c r="X67" s="89"/>
      <c r="Y67" s="89"/>
      <c r="Z67" s="89"/>
      <c r="AA67" s="89"/>
      <c r="AB67" s="98"/>
    </row>
    <row r="68" spans="5:10" ht="15.75">
      <c r="E68" s="40"/>
      <c r="I68" s="95"/>
      <c r="J68" s="95"/>
    </row>
    <row r="69" spans="2:11" ht="15.75">
      <c r="B69" s="99"/>
      <c r="E69" s="40"/>
      <c r="I69" s="95"/>
      <c r="J69" s="95"/>
      <c r="K69" s="95"/>
    </row>
    <row r="70" spans="2:10" ht="15.75">
      <c r="B70" s="99"/>
      <c r="E70" s="40"/>
      <c r="I70" s="95"/>
      <c r="J70" s="95"/>
    </row>
    <row r="71" spans="5:12" ht="15.75">
      <c r="E71" s="40"/>
      <c r="I71" s="95"/>
      <c r="J71" s="95"/>
      <c r="L71" s="95"/>
    </row>
    <row r="72" spans="5:12" ht="15.75">
      <c r="E72" s="40"/>
      <c r="J72" s="95"/>
      <c r="L72" s="95"/>
    </row>
    <row r="73" spans="5:9" ht="15.75">
      <c r="E73" s="40"/>
      <c r="I73" s="95"/>
    </row>
    <row r="79" ht="15.75">
      <c r="C79" s="94"/>
    </row>
  </sheetData>
  <sheetProtection/>
  <mergeCells count="27">
    <mergeCell ref="B67:D67"/>
    <mergeCell ref="U6:U7"/>
    <mergeCell ref="V6:V7"/>
    <mergeCell ref="W6:W7"/>
    <mergeCell ref="U60:AA60"/>
    <mergeCell ref="B61:D61"/>
    <mergeCell ref="AA5:AA7"/>
    <mergeCell ref="D6:E6"/>
    <mergeCell ref="H6:I6"/>
    <mergeCell ref="A5:A7"/>
    <mergeCell ref="B5:B7"/>
    <mergeCell ref="C5:C7"/>
    <mergeCell ref="D5:P5"/>
    <mergeCell ref="J6:J7"/>
    <mergeCell ref="K6:K7"/>
    <mergeCell ref="M6:M7"/>
    <mergeCell ref="N6:P6"/>
    <mergeCell ref="Z5:Z7"/>
    <mergeCell ref="T6:T7"/>
    <mergeCell ref="I1:AA1"/>
    <mergeCell ref="I2:AA2"/>
    <mergeCell ref="Q5:Q7"/>
    <mergeCell ref="R5:W5"/>
    <mergeCell ref="Y5:Y7"/>
    <mergeCell ref="R6:R7"/>
    <mergeCell ref="S6:S7"/>
    <mergeCell ref="X6:X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E12" sqref="E12"/>
    </sheetView>
  </sheetViews>
  <sheetFormatPr defaultColWidth="9.00390625" defaultRowHeight="15.75"/>
  <cols>
    <col min="1" max="1" width="3.00390625" style="137" customWidth="1"/>
    <col min="2" max="2" width="18.75390625" style="137" customWidth="1"/>
    <col min="3" max="3" width="9.50390625" style="137" customWidth="1"/>
    <col min="4" max="5" width="7.25390625" style="137" customWidth="1"/>
    <col min="6" max="6" width="8.125" style="137" customWidth="1"/>
    <col min="7" max="7" width="5.25390625" style="137" hidden="1" customWidth="1"/>
    <col min="8" max="8" width="8.625" style="137" hidden="1" customWidth="1"/>
    <col min="9" max="9" width="7.875" style="137" customWidth="1"/>
    <col min="10" max="10" width="11.00390625" style="137" customWidth="1"/>
    <col min="11" max="11" width="9.75390625" style="137" customWidth="1"/>
    <col min="12" max="12" width="8.50390625" style="137" customWidth="1"/>
    <col min="13" max="13" width="9.125" style="137" customWidth="1"/>
    <col min="14" max="14" width="11.50390625" style="137" customWidth="1"/>
    <col min="15" max="15" width="10.75390625" style="137" customWidth="1"/>
    <col min="16" max="16" width="7.25390625" style="137" customWidth="1"/>
    <col min="17" max="17" width="12.375" style="137" customWidth="1"/>
    <col min="18" max="18" width="13.75390625" style="137" customWidth="1"/>
    <col min="19" max="16384" width="9.00390625" style="137" customWidth="1"/>
  </cols>
  <sheetData>
    <row r="1" spans="1:14" s="101" customFormat="1" ht="18" customHeight="1">
      <c r="A1" s="100" t="s">
        <v>189</v>
      </c>
      <c r="K1" s="102"/>
      <c r="L1" s="102"/>
      <c r="M1" s="102"/>
      <c r="N1" s="102"/>
    </row>
    <row r="2" spans="1:14" s="101" customFormat="1" ht="18" customHeight="1">
      <c r="A2" s="100" t="s">
        <v>190</v>
      </c>
      <c r="K2" s="102"/>
      <c r="L2" s="102"/>
      <c r="M2" s="102"/>
      <c r="N2" s="102"/>
    </row>
    <row r="3" s="101" customFormat="1" ht="18" customHeight="1">
      <c r="A3" s="103" t="s">
        <v>191</v>
      </c>
    </row>
    <row r="4" spans="1:16" s="101" customFormat="1" ht="17.25" customHeight="1">
      <c r="A4" s="306" t="s">
        <v>192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</row>
    <row r="5" spans="1:16" s="101" customFormat="1" ht="18.75" customHeight="1">
      <c r="A5" s="307" t="s">
        <v>193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1:16" s="106" customFormat="1" ht="24" customHeight="1">
      <c r="A6" s="105"/>
      <c r="B6" s="105"/>
      <c r="C6" s="105"/>
      <c r="D6" s="104"/>
      <c r="E6" s="104"/>
      <c r="F6" s="104"/>
      <c r="G6" s="105"/>
      <c r="H6" s="105"/>
      <c r="I6" s="105"/>
      <c r="J6" s="105"/>
      <c r="K6" s="105"/>
      <c r="L6" s="105"/>
      <c r="M6" s="105"/>
      <c r="N6" s="104"/>
      <c r="O6" s="105" t="s">
        <v>194</v>
      </c>
      <c r="P6" s="104"/>
    </row>
    <row r="7" spans="1:17" s="108" customFormat="1" ht="55.5" customHeight="1">
      <c r="A7" s="308" t="s">
        <v>195</v>
      </c>
      <c r="B7" s="308" t="s">
        <v>196</v>
      </c>
      <c r="C7" s="309" t="s">
        <v>197</v>
      </c>
      <c r="D7" s="310" t="s">
        <v>198</v>
      </c>
      <c r="E7" s="310" t="s">
        <v>199</v>
      </c>
      <c r="F7" s="310" t="s">
        <v>200</v>
      </c>
      <c r="G7" s="292" t="s">
        <v>201</v>
      </c>
      <c r="H7" s="293"/>
      <c r="I7" s="292" t="s">
        <v>202</v>
      </c>
      <c r="J7" s="293"/>
      <c r="K7" s="295" t="s">
        <v>203</v>
      </c>
      <c r="L7" s="295"/>
      <c r="M7" s="293"/>
      <c r="N7" s="310" t="s">
        <v>204</v>
      </c>
      <c r="O7" s="309" t="s">
        <v>205</v>
      </c>
      <c r="P7" s="310" t="s">
        <v>206</v>
      </c>
      <c r="Q7" s="297" t="s">
        <v>207</v>
      </c>
    </row>
    <row r="8" spans="1:17" s="108" customFormat="1" ht="72" customHeight="1">
      <c r="A8" s="308"/>
      <c r="B8" s="308"/>
      <c r="C8" s="308"/>
      <c r="D8" s="311"/>
      <c r="E8" s="311"/>
      <c r="F8" s="311"/>
      <c r="G8" s="107" t="s">
        <v>208</v>
      </c>
      <c r="H8" s="107" t="s">
        <v>209</v>
      </c>
      <c r="I8" s="107" t="s">
        <v>208</v>
      </c>
      <c r="J8" s="107" t="s">
        <v>209</v>
      </c>
      <c r="K8" s="107" t="s">
        <v>210</v>
      </c>
      <c r="L8" s="107" t="s">
        <v>211</v>
      </c>
      <c r="M8" s="107" t="s">
        <v>212</v>
      </c>
      <c r="N8" s="311"/>
      <c r="O8" s="309"/>
      <c r="P8" s="296"/>
      <c r="Q8" s="296"/>
    </row>
    <row r="9" spans="1:18" s="108" customFormat="1" ht="14.25" customHeight="1">
      <c r="A9" s="109">
        <v>1</v>
      </c>
      <c r="B9" s="110" t="s">
        <v>213</v>
      </c>
      <c r="C9" s="109" t="s">
        <v>214</v>
      </c>
      <c r="D9" s="111">
        <v>3.86</v>
      </c>
      <c r="E9" s="112">
        <v>4.06</v>
      </c>
      <c r="F9" s="113">
        <f>+E9-D9</f>
        <v>0.19999999999999973</v>
      </c>
      <c r="G9" s="114"/>
      <c r="H9" s="114">
        <f>+F9*G9*730000</f>
        <v>0</v>
      </c>
      <c r="I9" s="115">
        <v>6</v>
      </c>
      <c r="J9" s="115">
        <f>+I9*F9*1210000</f>
        <v>1451999.9999999981</v>
      </c>
      <c r="K9" s="115">
        <f>+J9*8%</f>
        <v>116159.99999999985</v>
      </c>
      <c r="L9" s="115">
        <f>+J9*1.5%</f>
        <v>21779.99999999997</v>
      </c>
      <c r="M9" s="115">
        <f>+(J9*1%)</f>
        <v>14519.999999999982</v>
      </c>
      <c r="N9" s="115">
        <f>+M9+L9+K9</f>
        <v>152459.99999999983</v>
      </c>
      <c r="O9" s="116">
        <f>+(+H9+J9)-N9</f>
        <v>1299539.9999999984</v>
      </c>
      <c r="P9" s="117"/>
      <c r="Q9" s="118" t="s">
        <v>215</v>
      </c>
      <c r="R9" s="119"/>
    </row>
    <row r="10" spans="1:17" s="108" customFormat="1" ht="14.25" customHeight="1">
      <c r="A10" s="120"/>
      <c r="B10" s="121" t="s">
        <v>216</v>
      </c>
      <c r="C10" s="122"/>
      <c r="D10" s="123">
        <f aca="true" t="shared" si="0" ref="D10:O10">SUM(D9:D9)</f>
        <v>3.86</v>
      </c>
      <c r="E10" s="123">
        <f t="shared" si="0"/>
        <v>4.06</v>
      </c>
      <c r="F10" s="124">
        <f t="shared" si="0"/>
        <v>0.19999999999999973</v>
      </c>
      <c r="G10" s="124">
        <f t="shared" si="0"/>
        <v>0</v>
      </c>
      <c r="H10" s="124">
        <f t="shared" si="0"/>
        <v>0</v>
      </c>
      <c r="I10" s="125">
        <f t="shared" si="0"/>
        <v>6</v>
      </c>
      <c r="J10" s="125">
        <f t="shared" si="0"/>
        <v>1451999.9999999981</v>
      </c>
      <c r="K10" s="125">
        <f t="shared" si="0"/>
        <v>116159.99999999985</v>
      </c>
      <c r="L10" s="125">
        <f t="shared" si="0"/>
        <v>21779.99999999997</v>
      </c>
      <c r="M10" s="125">
        <f t="shared" si="0"/>
        <v>14519.999999999982</v>
      </c>
      <c r="N10" s="125">
        <f t="shared" si="0"/>
        <v>152459.99999999983</v>
      </c>
      <c r="O10" s="125">
        <f t="shared" si="0"/>
        <v>1299539.9999999984</v>
      </c>
      <c r="P10" s="126">
        <f>+SUM(P9:P9)</f>
        <v>0</v>
      </c>
      <c r="Q10" s="118"/>
    </row>
    <row r="11" spans="1:17" s="108" customFormat="1" ht="14.25" customHeight="1">
      <c r="A11" s="127"/>
      <c r="B11" s="128"/>
      <c r="C11" s="129"/>
      <c r="D11" s="130"/>
      <c r="E11" s="130"/>
      <c r="F11" s="131"/>
      <c r="G11" s="131"/>
      <c r="H11" s="131"/>
      <c r="I11" s="132"/>
      <c r="J11" s="132"/>
      <c r="K11" s="132"/>
      <c r="L11" s="132"/>
      <c r="M11" s="132"/>
      <c r="N11" s="132"/>
      <c r="O11" s="132"/>
      <c r="P11" s="133"/>
      <c r="Q11" s="134"/>
    </row>
    <row r="12" spans="1:18" ht="17.25" customHeight="1">
      <c r="A12" s="135" t="s">
        <v>217</v>
      </c>
      <c r="B12" s="136"/>
      <c r="R12" s="138"/>
    </row>
    <row r="13" spans="2:18" ht="17.25">
      <c r="B13" s="138"/>
      <c r="G13" s="138"/>
      <c r="H13" s="138"/>
      <c r="I13" s="139"/>
      <c r="J13" s="139"/>
      <c r="M13" s="140" t="s">
        <v>218</v>
      </c>
      <c r="N13" s="140"/>
      <c r="O13" s="140"/>
      <c r="P13" s="140"/>
      <c r="Q13" s="140"/>
      <c r="R13" s="138"/>
    </row>
    <row r="14" spans="3:17" ht="18">
      <c r="C14" s="141" t="s">
        <v>219</v>
      </c>
      <c r="D14" s="141"/>
      <c r="E14" s="142"/>
      <c r="G14" s="138"/>
      <c r="H14" s="138"/>
      <c r="I14" s="141"/>
      <c r="J14" s="141"/>
      <c r="K14" s="143"/>
      <c r="M14" s="298" t="s">
        <v>220</v>
      </c>
      <c r="N14" s="298"/>
      <c r="O14" s="298"/>
      <c r="P14" s="298"/>
      <c r="Q14" s="144"/>
    </row>
    <row r="15" spans="3:17" ht="18">
      <c r="C15" s="141"/>
      <c r="D15" s="141"/>
      <c r="E15" s="142"/>
      <c r="G15" s="138"/>
      <c r="H15" s="138"/>
      <c r="I15" s="141"/>
      <c r="J15" s="141"/>
      <c r="K15" s="143"/>
      <c r="M15" s="141"/>
      <c r="N15" s="141"/>
      <c r="O15" s="141"/>
      <c r="P15" s="141"/>
      <c r="Q15" s="144"/>
    </row>
    <row r="16" spans="1:15" ht="17.25">
      <c r="A16" s="138"/>
      <c r="B16" s="145"/>
      <c r="F16" s="138"/>
      <c r="G16" s="146"/>
      <c r="I16" s="145"/>
      <c r="J16" s="147"/>
      <c r="K16" s="143"/>
      <c r="O16" s="143"/>
    </row>
    <row r="17" spans="2:11" ht="17.25">
      <c r="B17" s="148"/>
      <c r="C17" s="139"/>
      <c r="D17" s="139"/>
      <c r="I17" s="139"/>
      <c r="J17" s="149"/>
      <c r="K17" s="143"/>
    </row>
    <row r="18" spans="2:17" ht="18">
      <c r="B18" s="148"/>
      <c r="C18" s="150" t="s">
        <v>221</v>
      </c>
      <c r="D18" s="150"/>
      <c r="E18" s="142"/>
      <c r="I18" s="150"/>
      <c r="M18" s="294" t="s">
        <v>222</v>
      </c>
      <c r="N18" s="294"/>
      <c r="O18" s="294"/>
      <c r="P18" s="294"/>
      <c r="Q18" s="140"/>
    </row>
    <row r="19" spans="2:10" ht="17.25">
      <c r="B19" s="148"/>
      <c r="J19" s="143"/>
    </row>
    <row r="20" spans="2:9" ht="17.25">
      <c r="B20" s="148"/>
      <c r="H20" s="151"/>
      <c r="I20" s="149"/>
    </row>
    <row r="21" spans="2:10" ht="17.25">
      <c r="B21" s="148"/>
      <c r="H21" s="151"/>
      <c r="I21" s="149"/>
      <c r="J21" s="139"/>
    </row>
    <row r="22" spans="2:9" ht="17.25">
      <c r="B22" s="148"/>
      <c r="H22" s="151"/>
      <c r="I22" s="149"/>
    </row>
    <row r="23" spans="2:10" ht="17.25">
      <c r="B23" s="148"/>
      <c r="H23" s="151"/>
      <c r="I23" s="149"/>
      <c r="J23" s="139"/>
    </row>
    <row r="24" spans="2:10" ht="17.25">
      <c r="B24" s="138"/>
      <c r="I24" s="149"/>
      <c r="J24" s="150"/>
    </row>
    <row r="25" ht="17.25">
      <c r="I25" s="149"/>
    </row>
    <row r="26" spans="2:10" ht="17.25">
      <c r="B26" s="146"/>
      <c r="J26" s="152"/>
    </row>
  </sheetData>
  <sheetProtection/>
  <mergeCells count="17">
    <mergeCell ref="Q7:Q8"/>
    <mergeCell ref="M14:P14"/>
    <mergeCell ref="M18:P18"/>
    <mergeCell ref="K7:M7"/>
    <mergeCell ref="N7:N8"/>
    <mergeCell ref="O7:O8"/>
    <mergeCell ref="P7:P8"/>
    <mergeCell ref="A4:P4"/>
    <mergeCell ref="A5:P5"/>
    <mergeCell ref="A7:A8"/>
    <mergeCell ref="B7:B8"/>
    <mergeCell ref="C7:C8"/>
    <mergeCell ref="D7:D8"/>
    <mergeCell ref="E7:E8"/>
    <mergeCell ref="F7:F8"/>
    <mergeCell ref="G7:H7"/>
    <mergeCell ref="I7:J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I15" sqref="I15"/>
    </sheetView>
  </sheetViews>
  <sheetFormatPr defaultColWidth="9.00390625" defaultRowHeight="15.75"/>
  <cols>
    <col min="1" max="1" width="3.00390625" style="137" customWidth="1"/>
    <col min="2" max="2" width="18.75390625" style="137" customWidth="1"/>
    <col min="3" max="3" width="9.50390625" style="137" customWidth="1"/>
    <col min="4" max="5" width="7.25390625" style="137" customWidth="1"/>
    <col min="6" max="6" width="8.125" style="137" customWidth="1"/>
    <col min="7" max="7" width="5.25390625" style="137" hidden="1" customWidth="1"/>
    <col min="8" max="8" width="8.625" style="137" hidden="1" customWidth="1"/>
    <col min="9" max="9" width="6.25390625" style="137" customWidth="1"/>
    <col min="10" max="10" width="8.75390625" style="137" customWidth="1"/>
    <col min="11" max="11" width="7.50390625" style="137" customWidth="1"/>
    <col min="12" max="12" width="8.25390625" style="137" customWidth="1"/>
    <col min="13" max="13" width="9.75390625" style="137" customWidth="1"/>
    <col min="14" max="14" width="8.50390625" style="137" customWidth="1"/>
    <col min="15" max="15" width="9.125" style="137" customWidth="1"/>
    <col min="16" max="16" width="11.50390625" style="137" customWidth="1"/>
    <col min="17" max="17" width="10.75390625" style="137" customWidth="1"/>
    <col min="18" max="18" width="8.625" style="137" customWidth="1"/>
    <col min="19" max="19" width="10.625" style="137" customWidth="1"/>
    <col min="20" max="20" width="13.75390625" style="137" customWidth="1"/>
    <col min="21" max="16384" width="9.00390625" style="137" customWidth="1"/>
  </cols>
  <sheetData>
    <row r="1" spans="1:16" s="101" customFormat="1" ht="18.75" customHeight="1">
      <c r="A1" s="100" t="s">
        <v>189</v>
      </c>
      <c r="M1" s="102"/>
      <c r="N1" s="102"/>
      <c r="O1" s="102"/>
      <c r="P1" s="102"/>
    </row>
    <row r="2" spans="1:16" s="101" customFormat="1" ht="18.75" customHeight="1">
      <c r="A2" s="100" t="s">
        <v>190</v>
      </c>
      <c r="M2" s="102"/>
      <c r="N2" s="102"/>
      <c r="O2" s="102"/>
      <c r="P2" s="102"/>
    </row>
    <row r="3" s="101" customFormat="1" ht="18.75" customHeight="1">
      <c r="A3" s="103" t="s">
        <v>191</v>
      </c>
    </row>
    <row r="4" spans="1:18" s="101" customFormat="1" ht="17.25" customHeight="1">
      <c r="A4" s="306" t="s">
        <v>192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153"/>
      <c r="R4" s="153"/>
    </row>
    <row r="5" spans="1:18" s="101" customFormat="1" ht="18.75" customHeight="1">
      <c r="A5" s="307" t="s">
        <v>223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</row>
    <row r="6" spans="1:18" s="106" customFormat="1" ht="24" customHeight="1">
      <c r="A6" s="105"/>
      <c r="B6" s="105"/>
      <c r="C6" s="105"/>
      <c r="D6" s="104"/>
      <c r="E6" s="104"/>
      <c r="F6" s="104"/>
      <c r="G6" s="105"/>
      <c r="H6" s="105"/>
      <c r="I6" s="105"/>
      <c r="J6" s="105"/>
      <c r="K6" s="105"/>
      <c r="L6" s="105"/>
      <c r="M6" s="105"/>
      <c r="N6" s="105"/>
      <c r="O6" s="105"/>
      <c r="P6" s="104"/>
      <c r="Q6" s="105" t="s">
        <v>224</v>
      </c>
      <c r="R6" s="104"/>
    </row>
    <row r="7" spans="1:19" s="108" customFormat="1" ht="55.5" customHeight="1">
      <c r="A7" s="308" t="s">
        <v>195</v>
      </c>
      <c r="B7" s="308" t="s">
        <v>196</v>
      </c>
      <c r="C7" s="309" t="s">
        <v>197</v>
      </c>
      <c r="D7" s="310" t="s">
        <v>198</v>
      </c>
      <c r="E7" s="310" t="s">
        <v>199</v>
      </c>
      <c r="F7" s="310" t="s">
        <v>200</v>
      </c>
      <c r="G7" s="292" t="s">
        <v>201</v>
      </c>
      <c r="H7" s="293"/>
      <c r="I7" s="292" t="s">
        <v>225</v>
      </c>
      <c r="J7" s="293"/>
      <c r="K7" s="292" t="s">
        <v>226</v>
      </c>
      <c r="L7" s="293"/>
      <c r="M7" s="295" t="s">
        <v>203</v>
      </c>
      <c r="N7" s="295"/>
      <c r="O7" s="293"/>
      <c r="P7" s="310" t="s">
        <v>204</v>
      </c>
      <c r="Q7" s="309" t="s">
        <v>205</v>
      </c>
      <c r="R7" s="310" t="s">
        <v>206</v>
      </c>
      <c r="S7" s="297" t="s">
        <v>207</v>
      </c>
    </row>
    <row r="8" spans="1:19" s="108" customFormat="1" ht="72" customHeight="1">
      <c r="A8" s="308"/>
      <c r="B8" s="308"/>
      <c r="C8" s="308"/>
      <c r="D8" s="311"/>
      <c r="E8" s="311"/>
      <c r="F8" s="311"/>
      <c r="G8" s="107" t="s">
        <v>208</v>
      </c>
      <c r="H8" s="107" t="s">
        <v>209</v>
      </c>
      <c r="I8" s="107" t="s">
        <v>208</v>
      </c>
      <c r="J8" s="107" t="s">
        <v>209</v>
      </c>
      <c r="K8" s="107" t="s">
        <v>208</v>
      </c>
      <c r="L8" s="107" t="s">
        <v>209</v>
      </c>
      <c r="M8" s="107" t="s">
        <v>210</v>
      </c>
      <c r="N8" s="107" t="s">
        <v>211</v>
      </c>
      <c r="O8" s="107" t="s">
        <v>212</v>
      </c>
      <c r="P8" s="311"/>
      <c r="Q8" s="309"/>
      <c r="R8" s="296"/>
      <c r="S8" s="296"/>
    </row>
    <row r="9" spans="1:20" s="108" customFormat="1" ht="14.25" customHeight="1">
      <c r="A9" s="109">
        <v>1</v>
      </c>
      <c r="B9" s="110" t="s">
        <v>213</v>
      </c>
      <c r="C9" s="109" t="s">
        <v>214</v>
      </c>
      <c r="D9" s="111">
        <v>3.86</v>
      </c>
      <c r="E9" s="112">
        <v>4.06</v>
      </c>
      <c r="F9" s="154">
        <f>+E9-D9</f>
        <v>0.19999999999999973</v>
      </c>
      <c r="G9" s="114"/>
      <c r="H9" s="114">
        <f>+F9*G9*730000</f>
        <v>0</v>
      </c>
      <c r="I9" s="115">
        <v>4</v>
      </c>
      <c r="J9" s="115">
        <f>+I9*F9*90000</f>
        <v>71999.9999999999</v>
      </c>
      <c r="K9" s="115">
        <v>2</v>
      </c>
      <c r="L9" s="115">
        <f>+F9*180000*K9</f>
        <v>71999.9999999999</v>
      </c>
      <c r="M9" s="115">
        <f>+(J9+L9)*8%</f>
        <v>11519.999999999984</v>
      </c>
      <c r="N9" s="115">
        <f>+(J9+L9)*1.5%</f>
        <v>2159.999999999997</v>
      </c>
      <c r="O9" s="115">
        <f>+(J9+L9)*1%</f>
        <v>1439.999999999998</v>
      </c>
      <c r="P9" s="115">
        <f>+O9+N9+M9</f>
        <v>15119.999999999978</v>
      </c>
      <c r="Q9" s="116">
        <f>+J9+L9-P9</f>
        <v>128879.99999999983</v>
      </c>
      <c r="R9" s="117"/>
      <c r="S9" s="118"/>
      <c r="T9" s="119"/>
    </row>
    <row r="10" spans="1:19" s="108" customFormat="1" ht="14.25" customHeight="1">
      <c r="A10" s="120"/>
      <c r="B10" s="121" t="s">
        <v>216</v>
      </c>
      <c r="C10" s="122"/>
      <c r="D10" s="123">
        <f aca="true" t="shared" si="0" ref="D10:M10">SUM(D9:D9)</f>
        <v>3.86</v>
      </c>
      <c r="E10" s="123">
        <f t="shared" si="0"/>
        <v>4.06</v>
      </c>
      <c r="F10" s="124">
        <f t="shared" si="0"/>
        <v>0.19999999999999973</v>
      </c>
      <c r="G10" s="124">
        <f t="shared" si="0"/>
        <v>0</v>
      </c>
      <c r="H10" s="124">
        <f t="shared" si="0"/>
        <v>0</v>
      </c>
      <c r="I10" s="125">
        <f t="shared" si="0"/>
        <v>4</v>
      </c>
      <c r="J10" s="125">
        <f t="shared" si="0"/>
        <v>71999.9999999999</v>
      </c>
      <c r="K10" s="125">
        <f t="shared" si="0"/>
        <v>2</v>
      </c>
      <c r="L10" s="125">
        <f t="shared" si="0"/>
        <v>71999.9999999999</v>
      </c>
      <c r="M10" s="125">
        <f t="shared" si="0"/>
        <v>11519.999999999984</v>
      </c>
      <c r="N10" s="155">
        <f>+(J10+L10)*1.5%</f>
        <v>2159.999999999997</v>
      </c>
      <c r="O10" s="125">
        <f>SUM(O9:O9)</f>
        <v>1439.999999999998</v>
      </c>
      <c r="P10" s="125">
        <f>SUM(P9:P9)</f>
        <v>15119.999999999978</v>
      </c>
      <c r="Q10" s="125">
        <f>SUM(Q9:Q9)</f>
        <v>128879.99999999983</v>
      </c>
      <c r="R10" s="126">
        <f>+SUM(R9:R9)</f>
        <v>0</v>
      </c>
      <c r="S10" s="118"/>
    </row>
    <row r="11" spans="1:19" s="108" customFormat="1" ht="14.25" customHeight="1">
      <c r="A11" s="127"/>
      <c r="B11" s="128"/>
      <c r="C11" s="129"/>
      <c r="D11" s="130"/>
      <c r="E11" s="130"/>
      <c r="F11" s="131"/>
      <c r="G11" s="131"/>
      <c r="H11" s="131"/>
      <c r="I11" s="132"/>
      <c r="J11" s="132"/>
      <c r="K11" s="132"/>
      <c r="L11" s="132"/>
      <c r="M11" s="132"/>
      <c r="N11" s="156"/>
      <c r="O11" s="132"/>
      <c r="P11" s="132"/>
      <c r="Q11" s="132"/>
      <c r="R11" s="133"/>
      <c r="S11" s="134"/>
    </row>
    <row r="12" spans="1:20" ht="17.25" customHeight="1">
      <c r="A12" s="135" t="s">
        <v>227</v>
      </c>
      <c r="B12" s="136"/>
      <c r="S12" s="143"/>
      <c r="T12" s="138"/>
    </row>
    <row r="13" spans="2:20" ht="17.25">
      <c r="B13" s="138"/>
      <c r="G13" s="138"/>
      <c r="H13" s="138"/>
      <c r="I13" s="139"/>
      <c r="J13" s="139"/>
      <c r="K13" s="139"/>
      <c r="L13" s="139"/>
      <c r="O13" s="140" t="s">
        <v>228</v>
      </c>
      <c r="P13" s="140"/>
      <c r="Q13" s="140"/>
      <c r="R13" s="140"/>
      <c r="S13" s="140"/>
      <c r="T13" s="138"/>
    </row>
    <row r="14" spans="3:19" ht="18">
      <c r="C14" s="141" t="s">
        <v>219</v>
      </c>
      <c r="D14" s="141"/>
      <c r="E14" s="142"/>
      <c r="G14" s="138"/>
      <c r="H14" s="138"/>
      <c r="I14" s="141"/>
      <c r="J14" s="141"/>
      <c r="K14" s="141"/>
      <c r="L14" s="141"/>
      <c r="M14" s="143"/>
      <c r="O14" s="298" t="s">
        <v>220</v>
      </c>
      <c r="P14" s="298"/>
      <c r="Q14" s="298"/>
      <c r="R14" s="298"/>
      <c r="S14" s="144"/>
    </row>
    <row r="15" spans="3:19" ht="18">
      <c r="C15" s="141"/>
      <c r="D15" s="141"/>
      <c r="E15" s="142"/>
      <c r="G15" s="138"/>
      <c r="H15" s="138"/>
      <c r="I15" s="141"/>
      <c r="J15" s="141"/>
      <c r="K15" s="141"/>
      <c r="L15" s="141"/>
      <c r="M15" s="143"/>
      <c r="O15" s="141"/>
      <c r="P15" s="141"/>
      <c r="Q15" s="141"/>
      <c r="R15" s="141"/>
      <c r="S15" s="144"/>
    </row>
    <row r="16" spans="1:17" ht="17.25">
      <c r="A16" s="138"/>
      <c r="B16" s="145"/>
      <c r="F16" s="138"/>
      <c r="G16" s="146"/>
      <c r="I16" s="145"/>
      <c r="J16" s="147"/>
      <c r="K16" s="147"/>
      <c r="L16" s="147"/>
      <c r="M16" s="143"/>
      <c r="Q16" s="143"/>
    </row>
    <row r="17" spans="2:13" ht="17.25">
      <c r="B17" s="148"/>
      <c r="C17" s="139"/>
      <c r="D17" s="139"/>
      <c r="I17" s="139"/>
      <c r="J17" s="149"/>
      <c r="K17" s="149"/>
      <c r="L17" s="149"/>
      <c r="M17" s="143"/>
    </row>
    <row r="18" spans="2:19" s="142" customFormat="1" ht="18">
      <c r="B18" s="157"/>
      <c r="C18" s="141" t="s">
        <v>221</v>
      </c>
      <c r="D18" s="141"/>
      <c r="I18" s="141"/>
      <c r="O18" s="298" t="s">
        <v>222</v>
      </c>
      <c r="P18" s="298"/>
      <c r="Q18" s="298"/>
      <c r="R18" s="298"/>
      <c r="S18" s="144"/>
    </row>
    <row r="19" spans="2:12" ht="17.25">
      <c r="B19" s="148"/>
      <c r="J19" s="143"/>
      <c r="K19" s="143"/>
      <c r="L19" s="143"/>
    </row>
    <row r="20" spans="2:9" ht="17.25">
      <c r="B20" s="148"/>
      <c r="H20" s="151"/>
      <c r="I20" s="149"/>
    </row>
    <row r="21" spans="2:12" ht="17.25">
      <c r="B21" s="148"/>
      <c r="H21" s="151"/>
      <c r="I21" s="149"/>
      <c r="J21" s="139"/>
      <c r="K21" s="139"/>
      <c r="L21" s="139"/>
    </row>
    <row r="22" spans="2:12" ht="17.25">
      <c r="B22" s="138"/>
      <c r="I22" s="149"/>
      <c r="J22" s="150"/>
      <c r="K22" s="150"/>
      <c r="L22" s="150"/>
    </row>
    <row r="23" spans="2:9" ht="17.25">
      <c r="B23" s="148"/>
      <c r="I23" s="149"/>
    </row>
    <row r="24" spans="2:12" ht="17.25">
      <c r="B24" s="158"/>
      <c r="J24" s="152"/>
      <c r="K24" s="152"/>
      <c r="L24" s="152"/>
    </row>
    <row r="25" ht="17.25">
      <c r="B25" s="143"/>
    </row>
    <row r="26" ht="17.25">
      <c r="B26" s="143"/>
    </row>
    <row r="27" ht="17.25">
      <c r="B27" s="143"/>
    </row>
    <row r="29" ht="17.25">
      <c r="I29" s="149"/>
    </row>
    <row r="30" spans="2:12" ht="17.25">
      <c r="B30" s="146"/>
      <c r="J30" s="152"/>
      <c r="K30" s="152"/>
      <c r="L30" s="152"/>
    </row>
  </sheetData>
  <sheetProtection/>
  <mergeCells count="18">
    <mergeCell ref="G7:H7"/>
    <mergeCell ref="O14:R14"/>
    <mergeCell ref="O18:R18"/>
    <mergeCell ref="K7:L7"/>
    <mergeCell ref="M7:O7"/>
    <mergeCell ref="P7:P8"/>
    <mergeCell ref="Q7:Q8"/>
    <mergeCell ref="R7:R8"/>
    <mergeCell ref="I7:J7"/>
    <mergeCell ref="S7:S8"/>
    <mergeCell ref="A4:P4"/>
    <mergeCell ref="A5:R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E61" sqref="E61"/>
    </sheetView>
  </sheetViews>
  <sheetFormatPr defaultColWidth="9.00390625" defaultRowHeight="15.75"/>
  <cols>
    <col min="1" max="1" width="3.875" style="102" customWidth="1"/>
    <col min="2" max="2" width="19.625" style="189" customWidth="1"/>
    <col min="3" max="3" width="7.875" style="160" customWidth="1"/>
    <col min="4" max="4" width="7.75390625" style="160" customWidth="1"/>
    <col min="5" max="5" width="7.875" style="160" customWidth="1"/>
    <col min="6" max="6" width="9.625" style="160" customWidth="1"/>
    <col min="7" max="7" width="6.00390625" style="160" customWidth="1"/>
    <col min="8" max="8" width="7.75390625" style="160" customWidth="1"/>
    <col min="9" max="9" width="9.50390625" style="160" customWidth="1"/>
    <col min="10" max="10" width="9.375" style="160" customWidth="1"/>
    <col min="11" max="11" width="9.625" style="160" customWidth="1"/>
    <col min="12" max="16384" width="9.00390625" style="160" customWidth="1"/>
  </cols>
  <sheetData>
    <row r="1" spans="1:9" s="100" customFormat="1" ht="18.75" customHeight="1">
      <c r="A1" s="100" t="s">
        <v>189</v>
      </c>
      <c r="B1" s="103"/>
      <c r="E1" s="159"/>
      <c r="F1" s="159"/>
      <c r="G1" s="159"/>
      <c r="H1" s="159"/>
      <c r="I1" s="159"/>
    </row>
    <row r="2" spans="1:9" s="100" customFormat="1" ht="18.75" customHeight="1">
      <c r="A2" s="100" t="s">
        <v>190</v>
      </c>
      <c r="B2" s="103"/>
      <c r="E2" s="159"/>
      <c r="F2" s="159"/>
      <c r="G2" s="159"/>
      <c r="H2" s="159"/>
      <c r="I2" s="159"/>
    </row>
    <row r="3" spans="1:2" s="100" customFormat="1" ht="18.75" customHeight="1">
      <c r="A3" s="103" t="s">
        <v>191</v>
      </c>
      <c r="B3" s="103"/>
    </row>
    <row r="4" spans="1:11" ht="21">
      <c r="A4" s="487" t="s">
        <v>229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</row>
    <row r="5" spans="1:15" ht="17.25">
      <c r="A5" s="488" t="s">
        <v>193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161"/>
      <c r="M5" s="161"/>
      <c r="N5" s="161"/>
      <c r="O5" s="161"/>
    </row>
    <row r="6" spans="1:11" s="163" customFormat="1" ht="44.25" customHeight="1">
      <c r="A6" s="308" t="s">
        <v>195</v>
      </c>
      <c r="B6" s="303" t="s">
        <v>196</v>
      </c>
      <c r="C6" s="309" t="s">
        <v>197</v>
      </c>
      <c r="D6" s="162" t="s">
        <v>230</v>
      </c>
      <c r="E6" s="162" t="s">
        <v>231</v>
      </c>
      <c r="F6" s="309" t="s">
        <v>232</v>
      </c>
      <c r="G6" s="301" t="s">
        <v>233</v>
      </c>
      <c r="H6" s="299" t="s">
        <v>202</v>
      </c>
      <c r="I6" s="300"/>
      <c r="J6" s="301" t="s">
        <v>205</v>
      </c>
      <c r="K6" s="303" t="s">
        <v>234</v>
      </c>
    </row>
    <row r="7" spans="1:11" s="163" customFormat="1" ht="31.5">
      <c r="A7" s="308"/>
      <c r="B7" s="483"/>
      <c r="C7" s="308"/>
      <c r="D7" s="164" t="s">
        <v>235</v>
      </c>
      <c r="E7" s="164" t="s">
        <v>235</v>
      </c>
      <c r="F7" s="308"/>
      <c r="G7" s="302"/>
      <c r="H7" s="162" t="s">
        <v>236</v>
      </c>
      <c r="I7" s="162" t="s">
        <v>237</v>
      </c>
      <c r="J7" s="302"/>
      <c r="K7" s="483"/>
    </row>
    <row r="8" spans="1:11" s="173" customFormat="1" ht="14.25">
      <c r="A8" s="165">
        <v>1</v>
      </c>
      <c r="B8" s="110" t="s">
        <v>213</v>
      </c>
      <c r="C8" s="109" t="s">
        <v>214</v>
      </c>
      <c r="D8" s="111">
        <v>3.86</v>
      </c>
      <c r="E8" s="166">
        <v>4.06</v>
      </c>
      <c r="F8" s="167">
        <f>+E8-D8</f>
        <v>0.19999999999999973</v>
      </c>
      <c r="G8" s="168">
        <v>0.35</v>
      </c>
      <c r="H8" s="169">
        <v>6</v>
      </c>
      <c r="I8" s="170">
        <f>+H8*G8*F8*1210000</f>
        <v>508199.99999999924</v>
      </c>
      <c r="J8" s="171">
        <f>+I8</f>
        <v>508199.99999999924</v>
      </c>
      <c r="K8" s="172"/>
    </row>
    <row r="9" spans="1:11" s="180" customFormat="1" ht="27.75" customHeight="1">
      <c r="A9" s="484" t="s">
        <v>216</v>
      </c>
      <c r="B9" s="485"/>
      <c r="C9" s="174"/>
      <c r="D9" s="175">
        <f>SUM(D8:D8)</f>
        <v>3.86</v>
      </c>
      <c r="E9" s="175">
        <f>SUM(E8:E8)</f>
        <v>4.06</v>
      </c>
      <c r="F9" s="176">
        <f>SUM(F8:F8)</f>
        <v>0.19999999999999973</v>
      </c>
      <c r="G9" s="177"/>
      <c r="H9" s="178">
        <f>SUM(H8:H8)</f>
        <v>6</v>
      </c>
      <c r="I9" s="177">
        <f>SUM(I8:I8)</f>
        <v>508199.99999999924</v>
      </c>
      <c r="J9" s="177">
        <f>SUM(J8:J8)</f>
        <v>508199.99999999924</v>
      </c>
      <c r="K9" s="179"/>
    </row>
    <row r="10" spans="1:11" s="180" customFormat="1" ht="17.25" customHeight="1">
      <c r="A10" s="181"/>
      <c r="B10" s="181"/>
      <c r="C10" s="182"/>
      <c r="D10" s="183"/>
      <c r="E10" s="183"/>
      <c r="F10" s="183"/>
      <c r="G10" s="181"/>
      <c r="H10" s="181"/>
      <c r="I10" s="181"/>
      <c r="J10" s="181"/>
      <c r="K10" s="184"/>
    </row>
    <row r="11" spans="1:2" ht="17.25">
      <c r="A11" s="185" t="s">
        <v>238</v>
      </c>
      <c r="B11" s="186"/>
    </row>
    <row r="12" spans="2:11" ht="19.5" customHeight="1">
      <c r="B12" s="187"/>
      <c r="F12" s="163"/>
      <c r="G12" s="163"/>
      <c r="H12" s="163"/>
      <c r="I12" s="163"/>
      <c r="J12" s="188"/>
      <c r="K12" s="163"/>
    </row>
    <row r="13" spans="6:11" ht="17.25">
      <c r="F13" s="190"/>
      <c r="G13" s="190"/>
      <c r="H13" s="190"/>
      <c r="I13" s="190"/>
      <c r="J13" s="190"/>
      <c r="K13" s="190"/>
    </row>
    <row r="14" spans="2:11" ht="18">
      <c r="B14" s="159" t="s">
        <v>219</v>
      </c>
      <c r="F14" s="190" t="s">
        <v>218</v>
      </c>
      <c r="G14" s="190"/>
      <c r="H14" s="190"/>
      <c r="I14" s="191"/>
      <c r="J14" s="159"/>
      <c r="K14" s="159"/>
    </row>
    <row r="15" spans="2:9" ht="18">
      <c r="B15" s="192"/>
      <c r="F15" s="486" t="s">
        <v>220</v>
      </c>
      <c r="G15" s="486"/>
      <c r="H15" s="486"/>
      <c r="I15" s="486"/>
    </row>
    <row r="19" spans="1:11" s="100" customFormat="1" ht="18">
      <c r="A19" s="159"/>
      <c r="B19" s="159" t="s">
        <v>221</v>
      </c>
      <c r="F19" s="486" t="s">
        <v>222</v>
      </c>
      <c r="G19" s="486"/>
      <c r="H19" s="486"/>
      <c r="I19" s="486"/>
      <c r="J19" s="191"/>
      <c r="K19" s="191"/>
    </row>
    <row r="20" ht="17.25">
      <c r="B20" s="186"/>
    </row>
    <row r="21" ht="17.25">
      <c r="B21" s="193"/>
    </row>
  </sheetData>
  <sheetProtection/>
  <mergeCells count="13">
    <mergeCell ref="F15:I15"/>
    <mergeCell ref="F19:I19"/>
    <mergeCell ref="A4:K4"/>
    <mergeCell ref="A5:K5"/>
    <mergeCell ref="A6:A7"/>
    <mergeCell ref="B6:B7"/>
    <mergeCell ref="C6:C7"/>
    <mergeCell ref="F6:F7"/>
    <mergeCell ref="G6:G7"/>
    <mergeCell ref="H6:I6"/>
    <mergeCell ref="J6:J7"/>
    <mergeCell ref="K6:K7"/>
    <mergeCell ref="A9:B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F49" sqref="F49"/>
    </sheetView>
  </sheetViews>
  <sheetFormatPr defaultColWidth="9.00390625" defaultRowHeight="15.75"/>
  <cols>
    <col min="1" max="1" width="3.875" style="150" customWidth="1"/>
    <col min="2" max="2" width="19.625" style="139" customWidth="1"/>
    <col min="3" max="3" width="7.875" style="137" customWidth="1"/>
    <col min="4" max="4" width="7.75390625" style="137" customWidth="1"/>
    <col min="5" max="5" width="7.875" style="137" customWidth="1"/>
    <col min="6" max="6" width="7.75390625" style="137" customWidth="1"/>
    <col min="7" max="8" width="6.00390625" style="137" customWidth="1"/>
    <col min="9" max="9" width="8.00390625" style="137" customWidth="1"/>
    <col min="10" max="10" width="6.00390625" style="137" customWidth="1"/>
    <col min="11" max="11" width="8.00390625" style="137" customWidth="1"/>
    <col min="12" max="12" width="8.125" style="137" customWidth="1"/>
    <col min="13" max="13" width="7.875" style="137" customWidth="1"/>
    <col min="14" max="16384" width="9.00390625" style="137" customWidth="1"/>
  </cols>
  <sheetData>
    <row r="1" spans="1:11" s="142" customFormat="1" ht="18">
      <c r="A1" s="101" t="s">
        <v>189</v>
      </c>
      <c r="B1" s="194"/>
      <c r="E1" s="141"/>
      <c r="F1" s="141"/>
      <c r="G1" s="141"/>
      <c r="H1" s="141"/>
      <c r="I1" s="141"/>
      <c r="J1" s="141"/>
      <c r="K1" s="141"/>
    </row>
    <row r="2" spans="1:11" s="142" customFormat="1" ht="18">
      <c r="A2" s="100" t="s">
        <v>190</v>
      </c>
      <c r="B2" s="194"/>
      <c r="E2" s="141"/>
      <c r="F2" s="141"/>
      <c r="G2" s="141"/>
      <c r="H2" s="141"/>
      <c r="I2" s="141"/>
      <c r="J2" s="141"/>
      <c r="K2" s="141"/>
    </row>
    <row r="3" spans="1:2" s="142" customFormat="1" ht="18">
      <c r="A3" s="103" t="s">
        <v>191</v>
      </c>
      <c r="B3" s="194"/>
    </row>
    <row r="4" spans="1:13" ht="21">
      <c r="A4" s="497" t="s">
        <v>229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</row>
    <row r="5" spans="1:17" ht="17.25">
      <c r="A5" s="488" t="s">
        <v>193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161"/>
      <c r="O5" s="161"/>
      <c r="P5" s="161"/>
      <c r="Q5" s="161"/>
    </row>
    <row r="6" spans="1:13" s="197" customFormat="1" ht="44.25" customHeight="1">
      <c r="A6" s="498" t="s">
        <v>195</v>
      </c>
      <c r="B6" s="493" t="s">
        <v>196</v>
      </c>
      <c r="C6" s="499" t="s">
        <v>197</v>
      </c>
      <c r="D6" s="196" t="s">
        <v>230</v>
      </c>
      <c r="E6" s="196" t="s">
        <v>231</v>
      </c>
      <c r="F6" s="499" t="s">
        <v>232</v>
      </c>
      <c r="G6" s="489" t="s">
        <v>233</v>
      </c>
      <c r="H6" s="491" t="s">
        <v>225</v>
      </c>
      <c r="I6" s="492"/>
      <c r="J6" s="491" t="s">
        <v>226</v>
      </c>
      <c r="K6" s="492"/>
      <c r="L6" s="489" t="s">
        <v>205</v>
      </c>
      <c r="M6" s="493" t="s">
        <v>234</v>
      </c>
    </row>
    <row r="7" spans="1:13" s="197" customFormat="1" ht="31.5">
      <c r="A7" s="498"/>
      <c r="B7" s="494"/>
      <c r="C7" s="498"/>
      <c r="D7" s="195" t="s">
        <v>235</v>
      </c>
      <c r="E7" s="195" t="s">
        <v>235</v>
      </c>
      <c r="F7" s="498"/>
      <c r="G7" s="490"/>
      <c r="H7" s="196" t="s">
        <v>236</v>
      </c>
      <c r="I7" s="196" t="s">
        <v>237</v>
      </c>
      <c r="J7" s="196" t="s">
        <v>236</v>
      </c>
      <c r="K7" s="196" t="s">
        <v>237</v>
      </c>
      <c r="L7" s="490"/>
      <c r="M7" s="494"/>
    </row>
    <row r="8" spans="1:13" s="204" customFormat="1" ht="14.25">
      <c r="A8" s="111">
        <v>1</v>
      </c>
      <c r="B8" s="198" t="s">
        <v>213</v>
      </c>
      <c r="C8" s="111" t="s">
        <v>214</v>
      </c>
      <c r="D8" s="111">
        <v>3.86</v>
      </c>
      <c r="E8" s="166">
        <v>4.06</v>
      </c>
      <c r="F8" s="199">
        <f>+E8-D8</f>
        <v>0.19999999999999973</v>
      </c>
      <c r="G8" s="200">
        <v>0.35</v>
      </c>
      <c r="H8" s="169">
        <v>4</v>
      </c>
      <c r="I8" s="201">
        <f>+H8*G8*F8*90000</f>
        <v>25199.999999999964</v>
      </c>
      <c r="J8" s="169">
        <v>2</v>
      </c>
      <c r="K8" s="201">
        <f>+J8*F8*180000*G8</f>
        <v>25199.999999999964</v>
      </c>
      <c r="L8" s="202">
        <f>+K8+I8</f>
        <v>50399.99999999993</v>
      </c>
      <c r="M8" s="203"/>
    </row>
    <row r="9" spans="1:13" s="209" customFormat="1" ht="27.75" customHeight="1">
      <c r="A9" s="495" t="s">
        <v>216</v>
      </c>
      <c r="B9" s="496"/>
      <c r="C9" s="205"/>
      <c r="D9" s="206">
        <f>SUM(D8:D8)</f>
        <v>3.86</v>
      </c>
      <c r="E9" s="206">
        <f>SUM(E8:E8)</f>
        <v>4.06</v>
      </c>
      <c r="F9" s="206">
        <f>SUM(F8:F8)</f>
        <v>0.19999999999999973</v>
      </c>
      <c r="G9" s="207"/>
      <c r="H9" s="207">
        <f>SUM(H8:H8)</f>
        <v>4</v>
      </c>
      <c r="I9" s="207">
        <f>SUM(I8:I8)</f>
        <v>25199.999999999964</v>
      </c>
      <c r="J9" s="207">
        <f>SUM(J8:J8)</f>
        <v>2</v>
      </c>
      <c r="K9" s="207">
        <f>SUM(K8:K8)</f>
        <v>25199.999999999964</v>
      </c>
      <c r="L9" s="207">
        <f>SUM(L8:L8)</f>
        <v>50399.99999999993</v>
      </c>
      <c r="M9" s="208"/>
    </row>
    <row r="10" spans="1:13" s="209" customFormat="1" ht="18" customHeight="1">
      <c r="A10" s="210"/>
      <c r="B10" s="210"/>
      <c r="C10" s="211"/>
      <c r="D10" s="212"/>
      <c r="E10" s="212"/>
      <c r="F10" s="212"/>
      <c r="G10" s="210"/>
      <c r="H10" s="210"/>
      <c r="I10" s="210"/>
      <c r="J10" s="210"/>
      <c r="K10" s="210"/>
      <c r="L10" s="210"/>
      <c r="M10" s="213"/>
    </row>
    <row r="11" spans="1:2" s="160" customFormat="1" ht="17.25">
      <c r="A11" s="185" t="s">
        <v>239</v>
      </c>
      <c r="B11" s="186"/>
    </row>
    <row r="12" spans="2:13" ht="19.5" customHeight="1">
      <c r="B12" s="214"/>
      <c r="F12" s="197"/>
      <c r="G12" s="197"/>
      <c r="H12" s="197"/>
      <c r="I12" s="197"/>
      <c r="J12" s="197"/>
      <c r="K12" s="197"/>
      <c r="L12" s="215"/>
      <c r="M12" s="197"/>
    </row>
    <row r="13" spans="6:13" ht="17.25">
      <c r="F13" s="140"/>
      <c r="G13" s="140"/>
      <c r="H13" s="140"/>
      <c r="I13" s="140"/>
      <c r="J13" s="140"/>
      <c r="K13" s="140"/>
      <c r="L13" s="140"/>
      <c r="M13" s="140"/>
    </row>
    <row r="14" spans="2:13" ht="18">
      <c r="B14" s="141" t="s">
        <v>219</v>
      </c>
      <c r="F14" s="140" t="s">
        <v>218</v>
      </c>
      <c r="G14" s="140"/>
      <c r="H14" s="140"/>
      <c r="I14" s="144"/>
      <c r="J14" s="144"/>
      <c r="K14" s="144"/>
      <c r="L14" s="141"/>
      <c r="M14" s="141"/>
    </row>
    <row r="15" spans="2:11" ht="18">
      <c r="B15" s="145"/>
      <c r="F15" s="298" t="s">
        <v>220</v>
      </c>
      <c r="G15" s="298"/>
      <c r="H15" s="298"/>
      <c r="I15" s="298"/>
      <c r="J15" s="141"/>
      <c r="K15" s="141"/>
    </row>
    <row r="19" spans="1:13" s="142" customFormat="1" ht="18">
      <c r="A19" s="141"/>
      <c r="B19" s="141" t="s">
        <v>221</v>
      </c>
      <c r="F19" s="298" t="s">
        <v>222</v>
      </c>
      <c r="G19" s="298"/>
      <c r="H19" s="298"/>
      <c r="I19" s="298"/>
      <c r="J19" s="141"/>
      <c r="K19" s="141"/>
      <c r="L19" s="144"/>
      <c r="M19" s="144"/>
    </row>
    <row r="20" ht="17.25">
      <c r="B20" s="216"/>
    </row>
    <row r="21" ht="17.25">
      <c r="B21" s="217"/>
    </row>
    <row r="46" ht="17.25">
      <c r="B46" s="216"/>
    </row>
  </sheetData>
  <sheetProtection/>
  <mergeCells count="14">
    <mergeCell ref="A4:M4"/>
    <mergeCell ref="A5:M5"/>
    <mergeCell ref="A6:A7"/>
    <mergeCell ref="B6:B7"/>
    <mergeCell ref="C6:C7"/>
    <mergeCell ref="F6:F7"/>
    <mergeCell ref="M6:M7"/>
    <mergeCell ref="A9:B9"/>
    <mergeCell ref="F15:I15"/>
    <mergeCell ref="F19:I19"/>
    <mergeCell ref="G6:G7"/>
    <mergeCell ref="H6:I6"/>
    <mergeCell ref="J6:K6"/>
    <mergeCell ref="L6:L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F9" sqref="F9"/>
    </sheetView>
  </sheetViews>
  <sheetFormatPr defaultColWidth="9.00390625" defaultRowHeight="15.75"/>
  <cols>
    <col min="1" max="1" width="3.375" style="137" customWidth="1"/>
    <col min="2" max="2" width="14.75390625" style="0" customWidth="1"/>
    <col min="3" max="3" width="6.125" style="271" customWidth="1"/>
    <col min="4" max="4" width="9.625" style="0" customWidth="1"/>
    <col min="5" max="5" width="5.75390625" style="0" customWidth="1"/>
    <col min="6" max="6" width="7.50390625" style="0" customWidth="1"/>
    <col min="7" max="7" width="8.625" style="0" customWidth="1"/>
    <col min="8" max="8" width="8.25390625" style="0" customWidth="1"/>
    <col min="9" max="9" width="5.50390625" style="272" customWidth="1"/>
    <col min="10" max="10" width="8.875" style="272" customWidth="1"/>
    <col min="11" max="11" width="8.50390625" style="272" customWidth="1"/>
    <col min="12" max="12" width="7.50390625" style="272" customWidth="1"/>
    <col min="13" max="13" width="8.125" style="0" customWidth="1"/>
    <col min="14" max="14" width="7.375" style="0" customWidth="1"/>
    <col min="15" max="15" width="7.875" style="0" customWidth="1"/>
    <col min="16" max="16" width="10.125" style="0" customWidth="1"/>
    <col min="17" max="17" width="7.125" style="0" customWidth="1"/>
    <col min="18" max="18" width="10.50390625" style="0" customWidth="1"/>
    <col min="19" max="19" width="9.00390625" style="221" customWidth="1"/>
  </cols>
  <sheetData>
    <row r="1" spans="1:18" ht="20.25">
      <c r="A1" s="218" t="s">
        <v>240</v>
      </c>
      <c r="B1" s="219"/>
      <c r="C1" s="219"/>
      <c r="D1" s="220"/>
      <c r="E1" s="220"/>
      <c r="F1" s="507" t="s">
        <v>241</v>
      </c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</row>
    <row r="2" spans="1:18" ht="18.75" customHeight="1">
      <c r="A2" s="222" t="s">
        <v>71</v>
      </c>
      <c r="B2" s="219"/>
      <c r="C2" s="219"/>
      <c r="D2" s="220"/>
      <c r="E2" s="220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</row>
    <row r="3" spans="1:18" ht="18.75" customHeight="1">
      <c r="A3" s="103" t="s">
        <v>191</v>
      </c>
      <c r="B3" s="219"/>
      <c r="C3" s="219"/>
      <c r="D3" s="220"/>
      <c r="E3" s="220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18" ht="19.5">
      <c r="A4" s="500"/>
      <c r="B4" s="500"/>
      <c r="C4" s="500"/>
      <c r="D4" s="224"/>
      <c r="E4" s="224"/>
      <c r="F4" s="225"/>
      <c r="G4" s="225"/>
      <c r="H4" s="225"/>
      <c r="I4" s="226"/>
      <c r="J4" s="226"/>
      <c r="K4" s="226"/>
      <c r="L4" s="226"/>
      <c r="M4" s="225"/>
      <c r="N4" s="225"/>
      <c r="O4" s="225"/>
      <c r="P4" s="225"/>
      <c r="Q4" s="225"/>
      <c r="R4" s="225"/>
    </row>
    <row r="5" spans="1:19" s="228" customFormat="1" ht="46.5" customHeight="1">
      <c r="A5" s="501" t="s">
        <v>242</v>
      </c>
      <c r="B5" s="503" t="s">
        <v>243</v>
      </c>
      <c r="C5" s="501" t="s">
        <v>244</v>
      </c>
      <c r="D5" s="503" t="s">
        <v>245</v>
      </c>
      <c r="E5" s="503" t="s">
        <v>246</v>
      </c>
      <c r="F5" s="503" t="s">
        <v>247</v>
      </c>
      <c r="G5" s="503" t="s">
        <v>248</v>
      </c>
      <c r="H5" s="503" t="s">
        <v>249</v>
      </c>
      <c r="I5" s="505" t="s">
        <v>250</v>
      </c>
      <c r="J5" s="506"/>
      <c r="K5" s="503" t="s">
        <v>251</v>
      </c>
      <c r="L5" s="503" t="s">
        <v>252</v>
      </c>
      <c r="M5" s="503" t="s">
        <v>253</v>
      </c>
      <c r="N5" s="503" t="s">
        <v>254</v>
      </c>
      <c r="O5" s="503" t="s">
        <v>255</v>
      </c>
      <c r="P5" s="503" t="s">
        <v>256</v>
      </c>
      <c r="Q5" s="503" t="s">
        <v>257</v>
      </c>
      <c r="R5" s="503" t="s">
        <v>79</v>
      </c>
      <c r="S5" s="227"/>
    </row>
    <row r="6" spans="1:19" s="228" customFormat="1" ht="45">
      <c r="A6" s="502"/>
      <c r="B6" s="504"/>
      <c r="C6" s="502"/>
      <c r="D6" s="504"/>
      <c r="E6" s="504"/>
      <c r="F6" s="504"/>
      <c r="G6" s="504"/>
      <c r="H6" s="504"/>
      <c r="I6" s="229" t="s">
        <v>258</v>
      </c>
      <c r="J6" s="230" t="s">
        <v>251</v>
      </c>
      <c r="K6" s="504"/>
      <c r="L6" s="504"/>
      <c r="M6" s="504"/>
      <c r="N6" s="504"/>
      <c r="O6" s="504"/>
      <c r="P6" s="504"/>
      <c r="Q6" s="504"/>
      <c r="R6" s="504"/>
      <c r="S6" s="227"/>
    </row>
    <row r="7" spans="1:18" ht="31.5">
      <c r="A7" s="231">
        <v>1</v>
      </c>
      <c r="B7" s="232" t="s">
        <v>3</v>
      </c>
      <c r="C7" s="233" t="s">
        <v>259</v>
      </c>
      <c r="D7" s="231" t="s">
        <v>214</v>
      </c>
      <c r="E7" s="231">
        <v>4.06</v>
      </c>
      <c r="F7" s="234">
        <f>E7*8%</f>
        <v>0.3248</v>
      </c>
      <c r="G7" s="234">
        <f>E7*9%</f>
        <v>0.36539999999999995</v>
      </c>
      <c r="H7" s="235">
        <f>G7-F7</f>
        <v>0.04059999999999997</v>
      </c>
      <c r="I7" s="236">
        <v>6</v>
      </c>
      <c r="J7" s="237">
        <f>H7*1210000*I7</f>
        <v>294755.99999999977</v>
      </c>
      <c r="K7" s="237">
        <f>J7</f>
        <v>294755.99999999977</v>
      </c>
      <c r="L7" s="238">
        <f>K7*8%</f>
        <v>23580.47999999998</v>
      </c>
      <c r="M7" s="238">
        <f>K7*1.5%</f>
        <v>4421.3399999999965</v>
      </c>
      <c r="N7" s="239">
        <f>K7*1%</f>
        <v>2947.5599999999977</v>
      </c>
      <c r="O7" s="239">
        <f>L7+M7+N7</f>
        <v>30949.379999999976</v>
      </c>
      <c r="P7" s="239">
        <f>K7-O7</f>
        <v>263806.61999999976</v>
      </c>
      <c r="Q7" s="240"/>
      <c r="R7" s="241"/>
    </row>
    <row r="8" spans="1:18" ht="17.25">
      <c r="A8" s="242"/>
      <c r="B8" s="243" t="s">
        <v>260</v>
      </c>
      <c r="C8" s="242"/>
      <c r="D8" s="243"/>
      <c r="E8" s="243"/>
      <c r="F8" s="244">
        <f>F7</f>
        <v>0.3248</v>
      </c>
      <c r="G8" s="244">
        <f>G7</f>
        <v>0.36539999999999995</v>
      </c>
      <c r="H8" s="244">
        <f>H7</f>
        <v>0.04059999999999997</v>
      </c>
      <c r="I8" s="245"/>
      <c r="J8" s="245">
        <f aca="true" t="shared" si="0" ref="J8:P8">J7</f>
        <v>294755.99999999977</v>
      </c>
      <c r="K8" s="245">
        <f t="shared" si="0"/>
        <v>294755.99999999977</v>
      </c>
      <c r="L8" s="245">
        <f t="shared" si="0"/>
        <v>23580.47999999998</v>
      </c>
      <c r="M8" s="245">
        <f t="shared" si="0"/>
        <v>4421.3399999999965</v>
      </c>
      <c r="N8" s="245">
        <f t="shared" si="0"/>
        <v>2947.5599999999977</v>
      </c>
      <c r="O8" s="245">
        <f t="shared" si="0"/>
        <v>30949.379999999976</v>
      </c>
      <c r="P8" s="245">
        <f t="shared" si="0"/>
        <v>263806.61999999976</v>
      </c>
      <c r="Q8" s="243"/>
      <c r="R8" s="246"/>
    </row>
    <row r="9" spans="1:18" ht="19.5">
      <c r="A9" s="247"/>
      <c r="B9" s="248"/>
      <c r="C9" s="247"/>
      <c r="D9" s="248"/>
      <c r="E9" s="248"/>
      <c r="F9" s="249"/>
      <c r="G9" s="249"/>
      <c r="H9" s="249"/>
      <c r="I9" s="250"/>
      <c r="J9" s="251"/>
      <c r="K9" s="251"/>
      <c r="L9" s="252"/>
      <c r="M9" s="252"/>
      <c r="N9" s="252"/>
      <c r="O9" s="252"/>
      <c r="P9" s="252"/>
      <c r="Q9" s="248"/>
      <c r="R9" s="253"/>
    </row>
    <row r="10" spans="1:18" ht="28.5" customHeight="1">
      <c r="A10" s="254" t="s">
        <v>261</v>
      </c>
      <c r="B10" s="255"/>
      <c r="C10" s="256"/>
      <c r="D10" s="255"/>
      <c r="E10" s="255"/>
      <c r="F10" s="255"/>
      <c r="G10" s="255"/>
      <c r="H10" s="255"/>
      <c r="I10" s="257"/>
      <c r="J10" s="257"/>
      <c r="K10" s="257"/>
      <c r="L10" s="257"/>
      <c r="M10" s="255"/>
      <c r="N10" s="255"/>
      <c r="O10" s="255"/>
      <c r="P10" s="255"/>
      <c r="Q10" s="255"/>
      <c r="R10" s="255"/>
    </row>
    <row r="11" spans="1:18" ht="18">
      <c r="A11" s="258"/>
      <c r="B11" s="258"/>
      <c r="C11" s="259"/>
      <c r="D11" s="258"/>
      <c r="E11" s="258"/>
      <c r="F11" s="258"/>
      <c r="G11" s="258"/>
      <c r="H11" s="258"/>
      <c r="I11" s="260"/>
      <c r="J11" s="260"/>
      <c r="K11" s="260"/>
      <c r="L11" s="260"/>
      <c r="M11" s="509" t="s">
        <v>262</v>
      </c>
      <c r="N11" s="509"/>
      <c r="O11" s="509"/>
      <c r="P11" s="509"/>
      <c r="Q11" s="509"/>
      <c r="R11" s="509"/>
    </row>
    <row r="12" spans="1:18" ht="18">
      <c r="A12" s="258"/>
      <c r="B12" s="480" t="s">
        <v>186</v>
      </c>
      <c r="C12" s="480"/>
      <c r="D12" s="480"/>
      <c r="E12" s="261"/>
      <c r="F12" s="261"/>
      <c r="G12" s="262"/>
      <c r="H12" s="262"/>
      <c r="I12" s="263"/>
      <c r="J12" s="263"/>
      <c r="K12" s="263"/>
      <c r="L12" s="263"/>
      <c r="M12" s="480" t="s">
        <v>187</v>
      </c>
      <c r="N12" s="480"/>
      <c r="O12" s="480"/>
      <c r="P12" s="480"/>
      <c r="Q12" s="480"/>
      <c r="R12" s="480"/>
    </row>
    <row r="13" spans="1:18" ht="18">
      <c r="A13" s="258"/>
      <c r="B13" s="258"/>
      <c r="C13" s="259"/>
      <c r="D13" s="258"/>
      <c r="E13" s="258"/>
      <c r="F13" s="264"/>
      <c r="G13" s="264"/>
      <c r="H13" s="264"/>
      <c r="I13" s="265"/>
      <c r="J13" s="265"/>
      <c r="K13" s="265"/>
      <c r="L13" s="265"/>
      <c r="M13" s="512"/>
      <c r="N13" s="512"/>
      <c r="O13" s="512"/>
      <c r="P13" s="512"/>
      <c r="Q13" s="512"/>
      <c r="R13" s="512"/>
    </row>
    <row r="14" spans="1:18" ht="18">
      <c r="A14" s="258"/>
      <c r="B14" s="258"/>
      <c r="C14" s="259"/>
      <c r="D14" s="258"/>
      <c r="E14" s="258"/>
      <c r="F14" s="266"/>
      <c r="G14" s="266"/>
      <c r="H14" s="266"/>
      <c r="I14" s="265"/>
      <c r="J14" s="265"/>
      <c r="K14" s="265"/>
      <c r="L14" s="265"/>
      <c r="M14" s="512"/>
      <c r="N14" s="512"/>
      <c r="O14" s="512"/>
      <c r="P14" s="512"/>
      <c r="Q14" s="512"/>
      <c r="R14" s="512"/>
    </row>
    <row r="15" spans="1:18" ht="18">
      <c r="A15" s="258"/>
      <c r="B15" s="258"/>
      <c r="C15" s="259"/>
      <c r="D15" s="258"/>
      <c r="E15" s="258"/>
      <c r="F15" s="264"/>
      <c r="G15" s="264"/>
      <c r="H15" s="264"/>
      <c r="I15" s="265"/>
      <c r="J15" s="265"/>
      <c r="K15" s="265"/>
      <c r="L15" s="265"/>
      <c r="M15" s="512"/>
      <c r="N15" s="512"/>
      <c r="O15" s="512"/>
      <c r="P15" s="512"/>
      <c r="Q15" s="512"/>
      <c r="R15" s="512"/>
    </row>
    <row r="16" spans="1:18" ht="18">
      <c r="A16" s="258"/>
      <c r="B16" s="258"/>
      <c r="C16" s="259"/>
      <c r="D16" s="258"/>
      <c r="E16" s="258"/>
      <c r="F16" s="264"/>
      <c r="G16" s="264"/>
      <c r="H16" s="264"/>
      <c r="I16" s="265"/>
      <c r="J16" s="265"/>
      <c r="K16" s="265"/>
      <c r="L16" s="265"/>
      <c r="M16" s="512"/>
      <c r="N16" s="512"/>
      <c r="O16" s="512"/>
      <c r="P16" s="512"/>
      <c r="Q16" s="512"/>
      <c r="R16" s="512"/>
    </row>
    <row r="17" spans="1:18" ht="24">
      <c r="A17" s="258"/>
      <c r="B17" s="508" t="s">
        <v>19</v>
      </c>
      <c r="C17" s="508"/>
      <c r="D17" s="508"/>
      <c r="E17" s="267"/>
      <c r="F17" s="267"/>
      <c r="G17" s="268"/>
      <c r="H17" s="268"/>
      <c r="I17" s="269"/>
      <c r="J17" s="269"/>
      <c r="K17" s="270"/>
      <c r="L17" s="270"/>
      <c r="M17" s="508" t="s">
        <v>2</v>
      </c>
      <c r="N17" s="508"/>
      <c r="O17" s="508"/>
      <c r="P17" s="508"/>
      <c r="Q17" s="508"/>
      <c r="R17" s="508"/>
    </row>
    <row r="36" spans="1:18" ht="20.25">
      <c r="A36" s="218" t="s">
        <v>240</v>
      </c>
      <c r="B36" s="219"/>
      <c r="C36" s="219"/>
      <c r="D36" s="220"/>
      <c r="E36" s="220"/>
      <c r="F36" s="507" t="s">
        <v>263</v>
      </c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</row>
    <row r="37" spans="1:18" ht="19.5">
      <c r="A37" s="222" t="s">
        <v>264</v>
      </c>
      <c r="B37" s="219"/>
      <c r="C37" s="219"/>
      <c r="D37" s="220"/>
      <c r="E37" s="220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</row>
    <row r="38" spans="1:18" ht="19.5">
      <c r="A38" s="500"/>
      <c r="B38" s="500"/>
      <c r="C38" s="500"/>
      <c r="D38" s="224"/>
      <c r="E38" s="224"/>
      <c r="F38" s="225"/>
      <c r="G38" s="225"/>
      <c r="H38" s="225"/>
      <c r="I38" s="226"/>
      <c r="J38" s="226"/>
      <c r="K38" s="226"/>
      <c r="L38" s="226"/>
      <c r="M38" s="225"/>
      <c r="N38" s="225"/>
      <c r="O38" s="225"/>
      <c r="P38" s="225"/>
      <c r="Q38" s="225"/>
      <c r="R38" s="225"/>
    </row>
    <row r="39" spans="1:18" ht="38.25" customHeight="1">
      <c r="A39" s="513" t="s">
        <v>242</v>
      </c>
      <c r="B39" s="510" t="s">
        <v>243</v>
      </c>
      <c r="C39" s="513" t="s">
        <v>244</v>
      </c>
      <c r="D39" s="510" t="s">
        <v>245</v>
      </c>
      <c r="E39" s="510" t="s">
        <v>246</v>
      </c>
      <c r="F39" s="510" t="s">
        <v>265</v>
      </c>
      <c r="G39" s="510" t="s">
        <v>266</v>
      </c>
      <c r="H39" s="510" t="s">
        <v>267</v>
      </c>
      <c r="I39" s="516" t="s">
        <v>268</v>
      </c>
      <c r="J39" s="517"/>
      <c r="K39" s="510" t="s">
        <v>251</v>
      </c>
      <c r="L39" s="510" t="s">
        <v>252</v>
      </c>
      <c r="M39" s="510" t="s">
        <v>253</v>
      </c>
      <c r="N39" s="510" t="s">
        <v>254</v>
      </c>
      <c r="O39" s="510" t="s">
        <v>255</v>
      </c>
      <c r="P39" s="510" t="s">
        <v>256</v>
      </c>
      <c r="Q39" s="510" t="s">
        <v>257</v>
      </c>
      <c r="R39" s="510" t="s">
        <v>79</v>
      </c>
    </row>
    <row r="40" spans="1:18" ht="47.25">
      <c r="A40" s="514"/>
      <c r="B40" s="511"/>
      <c r="C40" s="514"/>
      <c r="D40" s="511"/>
      <c r="E40" s="511"/>
      <c r="F40" s="511"/>
      <c r="G40" s="511"/>
      <c r="H40" s="511"/>
      <c r="I40" s="273" t="s">
        <v>258</v>
      </c>
      <c r="J40" s="274" t="s">
        <v>251</v>
      </c>
      <c r="K40" s="511"/>
      <c r="L40" s="511"/>
      <c r="M40" s="511"/>
      <c r="N40" s="511"/>
      <c r="O40" s="511"/>
      <c r="P40" s="511"/>
      <c r="Q40" s="511"/>
      <c r="R40" s="511"/>
    </row>
    <row r="41" spans="1:18" ht="15.75">
      <c r="A41" s="275" t="s">
        <v>269</v>
      </c>
      <c r="B41" s="276" t="s">
        <v>270</v>
      </c>
      <c r="C41" s="275"/>
      <c r="D41" s="273"/>
      <c r="E41" s="273"/>
      <c r="F41" s="277">
        <f aca="true" t="shared" si="1" ref="F41:P41">SUM(F42:F43)</f>
        <v>0.7307999999999999</v>
      </c>
      <c r="G41" s="277">
        <f t="shared" si="1"/>
        <v>0.8119999999999999</v>
      </c>
      <c r="H41" s="278">
        <f t="shared" si="1"/>
        <v>0.08120000000000005</v>
      </c>
      <c r="I41" s="279">
        <f t="shared" si="1"/>
        <v>3</v>
      </c>
      <c r="J41" s="280">
        <f t="shared" si="1"/>
        <v>10962.000000000007</v>
      </c>
      <c r="K41" s="280">
        <f t="shared" si="1"/>
        <v>10962.000000000007</v>
      </c>
      <c r="L41" s="280">
        <f t="shared" si="1"/>
        <v>877</v>
      </c>
      <c r="M41" s="280">
        <f t="shared" si="1"/>
        <v>165</v>
      </c>
      <c r="N41" s="280">
        <f t="shared" si="1"/>
        <v>109.62000000000006</v>
      </c>
      <c r="O41" s="280">
        <f t="shared" si="1"/>
        <v>1151.6200000000001</v>
      </c>
      <c r="P41" s="280">
        <f t="shared" si="1"/>
        <v>9810.380000000006</v>
      </c>
      <c r="Q41" s="279"/>
      <c r="R41" s="273"/>
    </row>
    <row r="42" spans="1:18" ht="31.5">
      <c r="A42" s="231">
        <v>1</v>
      </c>
      <c r="B42" s="232" t="s">
        <v>271</v>
      </c>
      <c r="C42" s="231" t="s">
        <v>272</v>
      </c>
      <c r="D42" s="231" t="s">
        <v>214</v>
      </c>
      <c r="E42" s="231">
        <v>4.06</v>
      </c>
      <c r="F42" s="234">
        <f>E42*9%</f>
        <v>0.36539999999999995</v>
      </c>
      <c r="G42" s="234">
        <f>E42*10%</f>
        <v>0.40599999999999997</v>
      </c>
      <c r="H42" s="235">
        <f>G42-F42</f>
        <v>0.040600000000000025</v>
      </c>
      <c r="I42" s="236">
        <v>2</v>
      </c>
      <c r="J42" s="237">
        <f>H42*90000*I42</f>
        <v>7308.000000000005</v>
      </c>
      <c r="K42" s="237">
        <f>J42</f>
        <v>7308.000000000005</v>
      </c>
      <c r="L42" s="281">
        <v>585</v>
      </c>
      <c r="M42" s="281">
        <v>110</v>
      </c>
      <c r="N42" s="239">
        <f>K42*1%</f>
        <v>73.08000000000004</v>
      </c>
      <c r="O42" s="239">
        <f>L42+M42+N42</f>
        <v>768.08</v>
      </c>
      <c r="P42" s="239">
        <f>K42-O42</f>
        <v>6539.920000000005</v>
      </c>
      <c r="Q42" s="240"/>
      <c r="R42" s="241" t="s">
        <v>273</v>
      </c>
    </row>
    <row r="43" spans="1:18" ht="31.5">
      <c r="A43" s="233">
        <v>2</v>
      </c>
      <c r="B43" s="282" t="s">
        <v>274</v>
      </c>
      <c r="C43" s="233" t="s">
        <v>259</v>
      </c>
      <c r="D43" s="233" t="s">
        <v>214</v>
      </c>
      <c r="E43" s="233">
        <v>4.06</v>
      </c>
      <c r="F43" s="283">
        <f>E43*9%</f>
        <v>0.36539999999999995</v>
      </c>
      <c r="G43" s="283">
        <f>E43*10%</f>
        <v>0.40599999999999997</v>
      </c>
      <c r="H43" s="284">
        <f>G43-F43</f>
        <v>0.040600000000000025</v>
      </c>
      <c r="I43" s="285">
        <v>1</v>
      </c>
      <c r="J43" s="286">
        <f>H43*90000*I43</f>
        <v>3654.0000000000023</v>
      </c>
      <c r="K43" s="286">
        <f>J43</f>
        <v>3654.0000000000023</v>
      </c>
      <c r="L43" s="287">
        <v>292</v>
      </c>
      <c r="M43" s="287">
        <v>55</v>
      </c>
      <c r="N43" s="288">
        <f>K43*1%</f>
        <v>36.54000000000002</v>
      </c>
      <c r="O43" s="288">
        <f>L43+M43+N43</f>
        <v>383.54</v>
      </c>
      <c r="P43" s="288">
        <f>K43-O43</f>
        <v>3270.4600000000023</v>
      </c>
      <c r="Q43" s="289"/>
      <c r="R43" s="290" t="s">
        <v>275</v>
      </c>
    </row>
    <row r="44" spans="1:18" ht="17.25">
      <c r="A44" s="242"/>
      <c r="B44" s="243" t="s">
        <v>260</v>
      </c>
      <c r="C44" s="242"/>
      <c r="D44" s="243"/>
      <c r="E44" s="243"/>
      <c r="F44" s="291">
        <f>F41</f>
        <v>0.7307999999999999</v>
      </c>
      <c r="G44" s="291">
        <f>G41</f>
        <v>0.8119999999999999</v>
      </c>
      <c r="H44" s="291">
        <f>H41</f>
        <v>0.08120000000000005</v>
      </c>
      <c r="I44" s="245">
        <f>I41</f>
        <v>3</v>
      </c>
      <c r="J44" s="245">
        <f>J41</f>
        <v>10962.000000000007</v>
      </c>
      <c r="K44" s="245">
        <f aca="true" t="shared" si="2" ref="K44:P44">K41</f>
        <v>10962.000000000007</v>
      </c>
      <c r="L44" s="245">
        <f t="shared" si="2"/>
        <v>877</v>
      </c>
      <c r="M44" s="245">
        <f t="shared" si="2"/>
        <v>165</v>
      </c>
      <c r="N44" s="245">
        <f t="shared" si="2"/>
        <v>109.62000000000006</v>
      </c>
      <c r="O44" s="245">
        <f t="shared" si="2"/>
        <v>1151.6200000000001</v>
      </c>
      <c r="P44" s="245">
        <f t="shared" si="2"/>
        <v>9810.380000000006</v>
      </c>
      <c r="Q44" s="243"/>
      <c r="R44" s="246"/>
    </row>
    <row r="45" spans="1:18" ht="19.5">
      <c r="A45" s="247"/>
      <c r="B45" s="248"/>
      <c r="C45" s="247"/>
      <c r="D45" s="248"/>
      <c r="E45" s="248"/>
      <c r="F45" s="249"/>
      <c r="G45" s="249"/>
      <c r="H45" s="249"/>
      <c r="I45" s="250"/>
      <c r="J45" s="251"/>
      <c r="K45" s="251"/>
      <c r="L45" s="252"/>
      <c r="M45" s="252"/>
      <c r="N45" s="252"/>
      <c r="O45" s="252"/>
      <c r="P45" s="252"/>
      <c r="Q45" s="248"/>
      <c r="R45" s="253"/>
    </row>
    <row r="46" spans="1:18" ht="18">
      <c r="A46" s="254" t="s">
        <v>276</v>
      </c>
      <c r="B46" s="255"/>
      <c r="C46" s="256"/>
      <c r="D46" s="255"/>
      <c r="E46" s="255"/>
      <c r="F46" s="255"/>
      <c r="G46" s="255"/>
      <c r="H46" s="255"/>
      <c r="I46" s="257"/>
      <c r="J46" s="257"/>
      <c r="K46" s="257"/>
      <c r="L46" s="257"/>
      <c r="M46" s="255"/>
      <c r="N46" s="255"/>
      <c r="O46" s="255"/>
      <c r="P46" s="255"/>
      <c r="Q46" s="255"/>
      <c r="R46" s="255"/>
    </row>
    <row r="47" spans="1:18" ht="18">
      <c r="A47" s="258"/>
      <c r="B47" s="258"/>
      <c r="C47" s="259"/>
      <c r="D47" s="258"/>
      <c r="E47" s="258"/>
      <c r="F47" s="258"/>
      <c r="G47" s="258"/>
      <c r="H47" s="258"/>
      <c r="I47" s="260"/>
      <c r="J47" s="260"/>
      <c r="K47" s="260"/>
      <c r="L47" s="260"/>
      <c r="M47" s="509" t="s">
        <v>277</v>
      </c>
      <c r="N47" s="509"/>
      <c r="O47" s="509"/>
      <c r="P47" s="509"/>
      <c r="Q47" s="509"/>
      <c r="R47" s="509"/>
    </row>
    <row r="48" spans="1:18" ht="18">
      <c r="A48" s="258"/>
      <c r="B48" s="515" t="s">
        <v>186</v>
      </c>
      <c r="C48" s="515"/>
      <c r="D48" s="515"/>
      <c r="E48" s="261"/>
      <c r="F48" s="261"/>
      <c r="G48" s="262"/>
      <c r="H48" s="262"/>
      <c r="I48" s="263"/>
      <c r="J48" s="263"/>
      <c r="K48" s="263"/>
      <c r="L48" s="263"/>
      <c r="M48" s="480" t="s">
        <v>187</v>
      </c>
      <c r="N48" s="480"/>
      <c r="O48" s="480"/>
      <c r="P48" s="480"/>
      <c r="Q48" s="480"/>
      <c r="R48" s="480"/>
    </row>
    <row r="49" spans="1:18" ht="18">
      <c r="A49" s="258"/>
      <c r="B49" s="258"/>
      <c r="C49" s="259"/>
      <c r="D49" s="258"/>
      <c r="E49" s="258"/>
      <c r="F49" s="264"/>
      <c r="G49" s="264"/>
      <c r="H49" s="264"/>
      <c r="I49" s="265"/>
      <c r="J49" s="265"/>
      <c r="K49" s="265"/>
      <c r="L49" s="265"/>
      <c r="M49" s="512"/>
      <c r="N49" s="512"/>
      <c r="O49" s="512"/>
      <c r="P49" s="512"/>
      <c r="Q49" s="512"/>
      <c r="R49" s="512"/>
    </row>
    <row r="50" spans="1:18" ht="18">
      <c r="A50" s="258"/>
      <c r="B50" s="258"/>
      <c r="C50" s="259"/>
      <c r="D50" s="258"/>
      <c r="E50" s="258"/>
      <c r="F50" s="266"/>
      <c r="G50" s="266"/>
      <c r="H50" s="266"/>
      <c r="I50" s="265"/>
      <c r="J50" s="265"/>
      <c r="K50" s="265"/>
      <c r="L50" s="265"/>
      <c r="M50" s="512"/>
      <c r="N50" s="512"/>
      <c r="O50" s="512"/>
      <c r="P50" s="512"/>
      <c r="Q50" s="512"/>
      <c r="R50" s="512"/>
    </row>
    <row r="51" spans="1:18" ht="18">
      <c r="A51" s="258"/>
      <c r="B51" s="258"/>
      <c r="C51" s="259"/>
      <c r="D51" s="258"/>
      <c r="E51" s="258"/>
      <c r="F51" s="264"/>
      <c r="G51" s="264"/>
      <c r="H51" s="264"/>
      <c r="I51" s="265"/>
      <c r="J51" s="265"/>
      <c r="K51" s="265"/>
      <c r="L51" s="265"/>
      <c r="M51" s="512"/>
      <c r="N51" s="512"/>
      <c r="O51" s="512"/>
      <c r="P51" s="512"/>
      <c r="Q51" s="512"/>
      <c r="R51" s="512"/>
    </row>
    <row r="52" spans="1:18" ht="18">
      <c r="A52" s="258"/>
      <c r="B52" s="258"/>
      <c r="C52" s="259"/>
      <c r="D52" s="258"/>
      <c r="E52" s="258"/>
      <c r="F52" s="264"/>
      <c r="G52" s="264"/>
      <c r="H52" s="264"/>
      <c r="I52" s="265"/>
      <c r="J52" s="265"/>
      <c r="K52" s="265"/>
      <c r="L52" s="265"/>
      <c r="M52" s="512"/>
      <c r="N52" s="512"/>
      <c r="O52" s="512"/>
      <c r="P52" s="512"/>
      <c r="Q52" s="512"/>
      <c r="R52" s="512"/>
    </row>
    <row r="53" spans="1:18" ht="24">
      <c r="A53" s="258"/>
      <c r="B53" s="518" t="s">
        <v>278</v>
      </c>
      <c r="C53" s="518"/>
      <c r="D53" s="518"/>
      <c r="E53" s="267"/>
      <c r="F53" s="267"/>
      <c r="G53" s="268"/>
      <c r="H53" s="268"/>
      <c r="I53" s="269"/>
      <c r="J53" s="269"/>
      <c r="K53" s="270"/>
      <c r="L53" s="270"/>
      <c r="M53" s="508" t="s">
        <v>279</v>
      </c>
      <c r="N53" s="508"/>
      <c r="O53" s="508"/>
      <c r="P53" s="508"/>
      <c r="Q53" s="508"/>
      <c r="R53" s="508"/>
    </row>
  </sheetData>
  <sheetProtection/>
  <mergeCells count="58">
    <mergeCell ref="B53:D53"/>
    <mergeCell ref="M53:R53"/>
    <mergeCell ref="M49:R49"/>
    <mergeCell ref="M50:R50"/>
    <mergeCell ref="M51:R51"/>
    <mergeCell ref="M52:R52"/>
    <mergeCell ref="R39:R40"/>
    <mergeCell ref="M47:R47"/>
    <mergeCell ref="B48:D48"/>
    <mergeCell ref="M48:R48"/>
    <mergeCell ref="H39:H40"/>
    <mergeCell ref="I39:J39"/>
    <mergeCell ref="K39:K40"/>
    <mergeCell ref="F36:R36"/>
    <mergeCell ref="F37:R37"/>
    <mergeCell ref="A38:C38"/>
    <mergeCell ref="A39:A40"/>
    <mergeCell ref="B39:B40"/>
    <mergeCell ref="C39:C40"/>
    <mergeCell ref="D39:D40"/>
    <mergeCell ref="O39:O40"/>
    <mergeCell ref="P39:P40"/>
    <mergeCell ref="Q39:Q40"/>
    <mergeCell ref="E39:E40"/>
    <mergeCell ref="F39:F40"/>
    <mergeCell ref="G39:G40"/>
    <mergeCell ref="M13:R13"/>
    <mergeCell ref="M14:R14"/>
    <mergeCell ref="M15:R15"/>
    <mergeCell ref="M16:R16"/>
    <mergeCell ref="L39:L40"/>
    <mergeCell ref="M39:M40"/>
    <mergeCell ref="N39:N40"/>
    <mergeCell ref="B17:D17"/>
    <mergeCell ref="M17:R17"/>
    <mergeCell ref="O5:O6"/>
    <mergeCell ref="P5:P6"/>
    <mergeCell ref="Q5:Q6"/>
    <mergeCell ref="R5:R6"/>
    <mergeCell ref="M11:R11"/>
    <mergeCell ref="B12:D12"/>
    <mergeCell ref="M12:R12"/>
    <mergeCell ref="H5:H6"/>
    <mergeCell ref="L5:L6"/>
    <mergeCell ref="M5:M6"/>
    <mergeCell ref="N5:N6"/>
    <mergeCell ref="F1:R1"/>
    <mergeCell ref="F2:R2"/>
    <mergeCell ref="F5:F6"/>
    <mergeCell ref="G5:G6"/>
    <mergeCell ref="D5:D6"/>
    <mergeCell ref="E5:E6"/>
    <mergeCell ref="I5:J5"/>
    <mergeCell ref="K5:K6"/>
    <mergeCell ref="A4:C4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H14" sqref="H14"/>
    </sheetView>
  </sheetViews>
  <sheetFormatPr defaultColWidth="9.00390625" defaultRowHeight="15.75"/>
  <cols>
    <col min="1" max="1" width="3.375" style="137" customWidth="1"/>
    <col min="2" max="2" width="14.25390625" style="0" customWidth="1"/>
    <col min="3" max="3" width="6.125" style="271" customWidth="1"/>
    <col min="4" max="4" width="12.25390625" style="0" customWidth="1"/>
    <col min="5" max="5" width="7.125" style="0" customWidth="1"/>
    <col min="6" max="6" width="8.00390625" style="0" customWidth="1"/>
    <col min="7" max="8" width="7.00390625" style="0" customWidth="1"/>
    <col min="9" max="9" width="6.50390625" style="272" customWidth="1"/>
    <col min="10" max="10" width="7.375" style="272" customWidth="1"/>
    <col min="11" max="11" width="5.75390625" style="272" customWidth="1"/>
    <col min="12" max="12" width="9.00390625" style="272" customWidth="1"/>
    <col min="13" max="13" width="5.75390625" style="272" customWidth="1"/>
    <col min="14" max="14" width="8.375" style="272" customWidth="1"/>
    <col min="15" max="15" width="7.375" style="272" customWidth="1"/>
    <col min="16" max="16" width="8.00390625" style="0" customWidth="1"/>
    <col min="17" max="17" width="10.625" style="0" customWidth="1"/>
    <col min="18" max="18" width="9.00390625" style="221" customWidth="1"/>
  </cols>
  <sheetData>
    <row r="1" spans="1:24" s="314" customFormat="1" ht="20.25">
      <c r="A1" s="218" t="s">
        <v>240</v>
      </c>
      <c r="B1" s="219"/>
      <c r="C1" s="219"/>
      <c r="D1" s="219"/>
      <c r="E1" s="524" t="s">
        <v>280</v>
      </c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312"/>
      <c r="R1" s="313"/>
      <c r="T1" s="315"/>
      <c r="U1" s="315"/>
      <c r="V1" s="315"/>
      <c r="W1" s="315"/>
      <c r="X1" s="315"/>
    </row>
    <row r="2" spans="1:24" s="314" customFormat="1" ht="21">
      <c r="A2" s="316" t="s">
        <v>71</v>
      </c>
      <c r="B2" s="220"/>
      <c r="C2" s="220"/>
      <c r="D2" s="220"/>
      <c r="E2" s="520" t="s">
        <v>281</v>
      </c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317"/>
      <c r="T2" s="318"/>
      <c r="U2" s="318"/>
      <c r="V2" s="318"/>
      <c r="W2" s="318"/>
      <c r="X2" s="318"/>
    </row>
    <row r="3" spans="1:18" s="314" customFormat="1" ht="19.5">
      <c r="A3" s="525" t="s">
        <v>191</v>
      </c>
      <c r="B3" s="525"/>
      <c r="C3" s="525"/>
      <c r="D3" s="224"/>
      <c r="E3" s="225"/>
      <c r="F3" s="482" t="s">
        <v>282</v>
      </c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225"/>
      <c r="R3" s="313"/>
    </row>
    <row r="4" spans="1:18" s="314" customFormat="1" ht="19.5">
      <c r="A4" s="319"/>
      <c r="B4" s="319"/>
      <c r="C4" s="319"/>
      <c r="D4" s="224"/>
      <c r="E4" s="225"/>
      <c r="F4" s="225"/>
      <c r="G4" s="225"/>
      <c r="H4" s="225"/>
      <c r="I4" s="226"/>
      <c r="J4" s="226"/>
      <c r="K4" s="226"/>
      <c r="L4" s="226"/>
      <c r="M4" s="226"/>
      <c r="N4" s="226"/>
      <c r="O4" s="226"/>
      <c r="P4" s="225"/>
      <c r="Q4" s="225"/>
      <c r="R4" s="313"/>
    </row>
    <row r="5" spans="1:18" s="314" customFormat="1" ht="34.5" customHeight="1">
      <c r="A5" s="501" t="s">
        <v>242</v>
      </c>
      <c r="B5" s="501" t="s">
        <v>243</v>
      </c>
      <c r="C5" s="501" t="s">
        <v>244</v>
      </c>
      <c r="D5" s="501" t="s">
        <v>283</v>
      </c>
      <c r="E5" s="510" t="s">
        <v>246</v>
      </c>
      <c r="F5" s="510" t="s">
        <v>247</v>
      </c>
      <c r="G5" s="510" t="s">
        <v>248</v>
      </c>
      <c r="H5" s="510" t="s">
        <v>249</v>
      </c>
      <c r="I5" s="523" t="s">
        <v>284</v>
      </c>
      <c r="J5" s="523" t="s">
        <v>285</v>
      </c>
      <c r="K5" s="491" t="s">
        <v>286</v>
      </c>
      <c r="L5" s="492"/>
      <c r="M5" s="491" t="s">
        <v>287</v>
      </c>
      <c r="N5" s="492"/>
      <c r="O5" s="501" t="s">
        <v>251</v>
      </c>
      <c r="P5" s="510" t="s">
        <v>257</v>
      </c>
      <c r="Q5" s="501" t="s">
        <v>79</v>
      </c>
      <c r="R5" s="321"/>
    </row>
    <row r="6" spans="1:18" s="314" customFormat="1" ht="67.5" customHeight="1">
      <c r="A6" s="519"/>
      <c r="B6" s="519"/>
      <c r="C6" s="519"/>
      <c r="D6" s="519"/>
      <c r="E6" s="522"/>
      <c r="F6" s="522"/>
      <c r="G6" s="522"/>
      <c r="H6" s="511"/>
      <c r="I6" s="523"/>
      <c r="J6" s="523"/>
      <c r="K6" s="326" t="s">
        <v>236</v>
      </c>
      <c r="L6" s="196" t="s">
        <v>237</v>
      </c>
      <c r="M6" s="196" t="s">
        <v>236</v>
      </c>
      <c r="N6" s="196" t="s">
        <v>237</v>
      </c>
      <c r="O6" s="519"/>
      <c r="P6" s="511"/>
      <c r="Q6" s="519"/>
      <c r="R6" s="321"/>
    </row>
    <row r="7" spans="1:18" s="314" customFormat="1" ht="39.75" customHeight="1">
      <c r="A7" s="320">
        <v>1</v>
      </c>
      <c r="B7" s="327" t="s">
        <v>3</v>
      </c>
      <c r="C7" s="328" t="s">
        <v>259</v>
      </c>
      <c r="D7" s="328" t="s">
        <v>214</v>
      </c>
      <c r="E7" s="328">
        <v>4.06</v>
      </c>
      <c r="F7" s="329">
        <f>E7*8%</f>
        <v>0.3248</v>
      </c>
      <c r="G7" s="329">
        <f>E7*9%</f>
        <v>0.36539999999999995</v>
      </c>
      <c r="H7" s="329">
        <f>G7-F7</f>
        <v>0.04059999999999997</v>
      </c>
      <c r="I7" s="330">
        <v>0.3</v>
      </c>
      <c r="J7" s="331">
        <f>H7*I7</f>
        <v>0.012179999999999991</v>
      </c>
      <c r="K7" s="332">
        <v>4</v>
      </c>
      <c r="L7" s="333">
        <f>J7*K7*1300000</f>
        <v>63335.999999999956</v>
      </c>
      <c r="M7" s="332">
        <v>2</v>
      </c>
      <c r="N7" s="333">
        <f>J7*M7*1390000</f>
        <v>33860.39999999997</v>
      </c>
      <c r="O7" s="334">
        <f>L7+N7</f>
        <v>97196.39999999994</v>
      </c>
      <c r="P7" s="335"/>
      <c r="Q7" s="336"/>
      <c r="R7" s="321"/>
    </row>
    <row r="8" spans="1:18" s="314" customFormat="1" ht="18">
      <c r="A8" s="337"/>
      <c r="B8" s="338" t="s">
        <v>260</v>
      </c>
      <c r="C8" s="337"/>
      <c r="D8" s="339"/>
      <c r="E8" s="340">
        <f>E7</f>
        <v>4.06</v>
      </c>
      <c r="F8" s="340">
        <f>F7</f>
        <v>0.3248</v>
      </c>
      <c r="G8" s="340">
        <f>G7</f>
        <v>0.36539999999999995</v>
      </c>
      <c r="H8" s="340">
        <f>H7</f>
        <v>0.04059999999999997</v>
      </c>
      <c r="I8" s="341"/>
      <c r="J8" s="342">
        <f>SUM(J7:J7)</f>
        <v>0.012179999999999991</v>
      </c>
      <c r="K8" s="343"/>
      <c r="L8" s="344">
        <f>L7</f>
        <v>63335.999999999956</v>
      </c>
      <c r="M8" s="344"/>
      <c r="N8" s="344">
        <f>N7</f>
        <v>33860.39999999997</v>
      </c>
      <c r="O8" s="341">
        <f>SUM(O7:O7)</f>
        <v>97196.39999999994</v>
      </c>
      <c r="P8" s="339"/>
      <c r="Q8" s="345"/>
      <c r="R8" s="346"/>
    </row>
    <row r="9" spans="1:18" s="314" customFormat="1" ht="19.5">
      <c r="A9" s="247"/>
      <c r="B9" s="248"/>
      <c r="C9" s="247"/>
      <c r="D9" s="248"/>
      <c r="E9" s="249"/>
      <c r="F9" s="249"/>
      <c r="G9" s="249"/>
      <c r="H9" s="249"/>
      <c r="I9" s="251"/>
      <c r="J9" s="251"/>
      <c r="K9" s="251"/>
      <c r="L9" s="251"/>
      <c r="M9" s="251"/>
      <c r="N9" s="251"/>
      <c r="O9" s="251"/>
      <c r="P9" s="248"/>
      <c r="Q9" s="253"/>
      <c r="R9" s="346"/>
    </row>
    <row r="10" spans="1:18" s="314" customFormat="1" ht="18">
      <c r="A10" s="254" t="s">
        <v>288</v>
      </c>
      <c r="B10" s="255"/>
      <c r="C10" s="256"/>
      <c r="D10" s="255"/>
      <c r="E10" s="255"/>
      <c r="F10" s="255"/>
      <c r="G10" s="255"/>
      <c r="H10" s="255"/>
      <c r="I10" s="257"/>
      <c r="J10" s="257"/>
      <c r="K10" s="257"/>
      <c r="L10" s="257"/>
      <c r="M10" s="257"/>
      <c r="N10" s="257"/>
      <c r="O10" s="257"/>
      <c r="P10" s="255"/>
      <c r="Q10" s="255"/>
      <c r="R10" s="347"/>
    </row>
    <row r="11" spans="1:18" s="314" customFormat="1" ht="18">
      <c r="A11" s="258"/>
      <c r="B11" s="258"/>
      <c r="C11" s="259"/>
      <c r="D11" s="258"/>
      <c r="E11" s="258"/>
      <c r="F11" s="258"/>
      <c r="G11" s="258"/>
      <c r="H11" s="258"/>
      <c r="I11" s="260"/>
      <c r="L11" s="3" t="s">
        <v>289</v>
      </c>
      <c r="M11" s="3"/>
      <c r="N11" s="348"/>
      <c r="O11" s="349"/>
      <c r="P11" s="349"/>
      <c r="Q11" s="349"/>
      <c r="R11" s="349"/>
    </row>
    <row r="12" spans="1:18" s="314" customFormat="1" ht="17.25">
      <c r="A12" s="258"/>
      <c r="B12" s="480" t="s">
        <v>186</v>
      </c>
      <c r="C12" s="480"/>
      <c r="D12" s="480"/>
      <c r="E12" s="480"/>
      <c r="F12" s="4"/>
      <c r="G12" s="4"/>
      <c r="H12" s="4"/>
      <c r="I12" s="316"/>
      <c r="J12" s="316"/>
      <c r="K12" s="316"/>
      <c r="L12" s="318"/>
      <c r="M12" s="318"/>
      <c r="N12" s="316" t="s">
        <v>187</v>
      </c>
      <c r="O12" s="316"/>
      <c r="P12" s="316"/>
      <c r="Q12" s="316"/>
      <c r="R12" s="316"/>
    </row>
    <row r="13" spans="1:18" s="314" customFormat="1" ht="17.25">
      <c r="A13" s="258"/>
      <c r="B13" s="350"/>
      <c r="C13" s="351"/>
      <c r="D13" s="350"/>
      <c r="E13" s="352"/>
      <c r="F13" s="352"/>
      <c r="G13" s="352"/>
      <c r="H13" s="352"/>
      <c r="I13" s="353"/>
      <c r="J13" s="353"/>
      <c r="K13" s="353"/>
      <c r="L13" s="354"/>
      <c r="M13" s="354"/>
      <c r="N13" s="353"/>
      <c r="O13" s="356"/>
      <c r="P13" s="356"/>
      <c r="Q13" s="356"/>
      <c r="R13" s="356"/>
    </row>
    <row r="14" spans="1:18" s="314" customFormat="1" ht="17.25">
      <c r="A14" s="258"/>
      <c r="B14" s="350"/>
      <c r="C14" s="351"/>
      <c r="D14" s="350"/>
      <c r="E14" s="357"/>
      <c r="F14" s="357"/>
      <c r="G14" s="357"/>
      <c r="H14" s="357"/>
      <c r="I14" s="353"/>
      <c r="J14" s="353"/>
      <c r="K14" s="353"/>
      <c r="L14" s="354"/>
      <c r="M14" s="354"/>
      <c r="N14" s="353"/>
      <c r="O14" s="356"/>
      <c r="P14" s="356"/>
      <c r="Q14" s="356"/>
      <c r="R14" s="356"/>
    </row>
    <row r="15" spans="1:18" s="314" customFormat="1" ht="17.25">
      <c r="A15" s="258"/>
      <c r="B15" s="350"/>
      <c r="C15" s="351"/>
      <c r="D15" s="350"/>
      <c r="E15" s="352"/>
      <c r="F15" s="352"/>
      <c r="G15" s="352"/>
      <c r="H15" s="352"/>
      <c r="I15" s="353"/>
      <c r="J15" s="353"/>
      <c r="K15" s="353"/>
      <c r="L15" s="354"/>
      <c r="M15" s="354"/>
      <c r="N15" s="353"/>
      <c r="O15" s="356"/>
      <c r="P15" s="356"/>
      <c r="Q15" s="356"/>
      <c r="R15" s="356"/>
    </row>
    <row r="16" spans="1:18" s="314" customFormat="1" ht="17.25">
      <c r="A16" s="258"/>
      <c r="B16" s="350"/>
      <c r="C16" s="351"/>
      <c r="D16" s="350"/>
      <c r="E16" s="352"/>
      <c r="F16" s="352"/>
      <c r="G16" s="352"/>
      <c r="H16" s="352"/>
      <c r="I16" s="353"/>
      <c r="J16" s="353"/>
      <c r="K16" s="353"/>
      <c r="L16" s="354"/>
      <c r="M16" s="354"/>
      <c r="N16" s="353"/>
      <c r="O16" s="358"/>
      <c r="P16" s="350"/>
      <c r="Q16" s="350"/>
      <c r="R16" s="359"/>
    </row>
    <row r="17" spans="1:18" s="314" customFormat="1" ht="20.25">
      <c r="A17" s="258"/>
      <c r="B17" s="520" t="s">
        <v>19</v>
      </c>
      <c r="C17" s="520"/>
      <c r="D17" s="520"/>
      <c r="E17" s="520"/>
      <c r="F17" s="267"/>
      <c r="G17" s="267"/>
      <c r="H17" s="267"/>
      <c r="I17" s="360"/>
      <c r="J17" s="360"/>
      <c r="K17" s="360"/>
      <c r="L17" s="521" t="s">
        <v>290</v>
      </c>
      <c r="M17" s="521"/>
      <c r="N17" s="521"/>
      <c r="O17" s="521"/>
      <c r="P17" s="521"/>
      <c r="Q17" s="521"/>
      <c r="R17" s="521"/>
    </row>
    <row r="18" spans="1:18" ht="17.25">
      <c r="A18" s="258"/>
      <c r="B18" s="258"/>
      <c r="C18" s="259"/>
      <c r="D18" s="258"/>
      <c r="E18" s="258"/>
      <c r="F18" s="258"/>
      <c r="G18" s="258"/>
      <c r="H18" s="258"/>
      <c r="I18" s="226"/>
      <c r="J18" s="226"/>
      <c r="K18" s="226"/>
      <c r="L18" s="358"/>
      <c r="M18" s="358"/>
      <c r="N18" s="358"/>
      <c r="O18" s="358"/>
      <c r="P18" s="350"/>
      <c r="Q18" s="350"/>
      <c r="R18" s="359"/>
    </row>
  </sheetData>
  <sheetProtection/>
  <mergeCells count="22">
    <mergeCell ref="A5:A6"/>
    <mergeCell ref="B5:B6"/>
    <mergeCell ref="C5:C6"/>
    <mergeCell ref="D5:D6"/>
    <mergeCell ref="E1:P1"/>
    <mergeCell ref="E2:Q2"/>
    <mergeCell ref="A3:C3"/>
    <mergeCell ref="F3:P3"/>
    <mergeCell ref="B17:E17"/>
    <mergeCell ref="L17:R17"/>
    <mergeCell ref="G5:G6"/>
    <mergeCell ref="H5:H6"/>
    <mergeCell ref="I5:I6"/>
    <mergeCell ref="J5:J6"/>
    <mergeCell ref="K5:L5"/>
    <mergeCell ref="M5:N5"/>
    <mergeCell ref="E5:E6"/>
    <mergeCell ref="F5:F6"/>
    <mergeCell ref="O5:O6"/>
    <mergeCell ref="P5:P6"/>
    <mergeCell ref="Q5:Q6"/>
    <mergeCell ref="B12:E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71"/>
  <sheetViews>
    <sheetView zoomScalePageLayoutView="0" workbookViewId="0" topLeftCell="A1">
      <selection activeCell="E10" sqref="E10"/>
    </sheetView>
  </sheetViews>
  <sheetFormatPr defaultColWidth="9.00390625" defaultRowHeight="15.75"/>
  <cols>
    <col min="1" max="1" width="2.75390625" style="0" customWidth="1"/>
    <col min="2" max="2" width="17.625" style="0" customWidth="1"/>
    <col min="3" max="3" width="6.50390625" style="0" customWidth="1"/>
    <col min="4" max="4" width="7.625" style="0" customWidth="1"/>
    <col min="5" max="5" width="7.00390625" style="0" customWidth="1"/>
    <col min="6" max="6" width="3.125" style="0" customWidth="1"/>
    <col min="7" max="8" width="7.625" style="0" customWidth="1"/>
    <col min="9" max="9" width="7.00390625" style="0" customWidth="1"/>
    <col min="10" max="10" width="4.25390625" style="0" customWidth="1"/>
    <col min="11" max="11" width="7.50390625" style="0" customWidth="1"/>
    <col min="12" max="12" width="8.25390625" style="0" customWidth="1"/>
    <col min="13" max="13" width="5.625" style="0" customWidth="1"/>
    <col min="14" max="14" width="4.375" style="0" customWidth="1"/>
    <col min="15" max="15" width="7.75390625" style="0" customWidth="1"/>
    <col min="16" max="16" width="4.625" style="0" customWidth="1"/>
    <col min="17" max="17" width="6.25390625" style="0" customWidth="1"/>
    <col min="18" max="18" width="7.00390625" style="0" customWidth="1"/>
    <col min="19" max="19" width="6.625" style="0" customWidth="1"/>
    <col min="20" max="20" width="6.75390625" style="0" customWidth="1"/>
    <col min="21" max="21" width="6.00390625" style="221" customWidth="1"/>
    <col min="22" max="22" width="5.00390625" style="0" customWidth="1"/>
    <col min="23" max="25" width="7.00390625" style="0" customWidth="1"/>
  </cols>
  <sheetData>
    <row r="1" spans="1:21" ht="18.75" customHeight="1">
      <c r="A1" s="315" t="s">
        <v>240</v>
      </c>
      <c r="B1" s="315"/>
      <c r="C1" s="361"/>
      <c r="D1" s="361"/>
      <c r="E1" s="361"/>
      <c r="F1" s="361"/>
      <c r="G1" s="361"/>
      <c r="H1" s="547" t="s">
        <v>291</v>
      </c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</row>
    <row r="2" spans="1:21" ht="18" customHeight="1">
      <c r="A2" s="318" t="s">
        <v>71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"/>
      <c r="U2" s="362"/>
    </row>
    <row r="3" spans="1:21" ht="18" customHeight="1">
      <c r="A3" s="525" t="s">
        <v>191</v>
      </c>
      <c r="B3" s="525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"/>
      <c r="U3" s="362"/>
    </row>
    <row r="4" spans="1:21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2" ht="40.5" customHeight="1">
      <c r="A5" s="542" t="s">
        <v>292</v>
      </c>
      <c r="B5" s="542" t="s">
        <v>293</v>
      </c>
      <c r="C5" s="543" t="s">
        <v>294</v>
      </c>
      <c r="D5" s="544"/>
      <c r="E5" s="544"/>
      <c r="F5" s="544"/>
      <c r="G5" s="545"/>
      <c r="H5" s="542" t="s">
        <v>295</v>
      </c>
      <c r="I5" s="542"/>
      <c r="J5" s="542"/>
      <c r="K5" s="542"/>
      <c r="L5" s="534" t="s">
        <v>296</v>
      </c>
      <c r="M5" s="526" t="s">
        <v>297</v>
      </c>
      <c r="N5" s="557" t="s">
        <v>298</v>
      </c>
      <c r="O5" s="558"/>
      <c r="P5" s="557" t="s">
        <v>299</v>
      </c>
      <c r="Q5" s="558"/>
      <c r="R5" s="549" t="s">
        <v>300</v>
      </c>
      <c r="S5" s="550" t="s">
        <v>301</v>
      </c>
      <c r="T5" s="529" t="s">
        <v>302</v>
      </c>
      <c r="U5" s="530" t="s">
        <v>257</v>
      </c>
      <c r="V5" s="553" t="s">
        <v>79</v>
      </c>
    </row>
    <row r="6" spans="1:22" ht="27" customHeight="1">
      <c r="A6" s="542"/>
      <c r="B6" s="542"/>
      <c r="C6" s="534" t="s">
        <v>303</v>
      </c>
      <c r="D6" s="537" t="s">
        <v>304</v>
      </c>
      <c r="E6" s="537"/>
      <c r="F6" s="537"/>
      <c r="G6" s="537"/>
      <c r="H6" s="534" t="s">
        <v>305</v>
      </c>
      <c r="I6" s="537" t="s">
        <v>304</v>
      </c>
      <c r="J6" s="537"/>
      <c r="K6" s="537"/>
      <c r="L6" s="535"/>
      <c r="M6" s="526"/>
      <c r="N6" s="554" t="s">
        <v>258</v>
      </c>
      <c r="O6" s="539" t="s">
        <v>94</v>
      </c>
      <c r="P6" s="539" t="s">
        <v>258</v>
      </c>
      <c r="Q6" s="539" t="s">
        <v>94</v>
      </c>
      <c r="R6" s="549"/>
      <c r="S6" s="551"/>
      <c r="T6" s="529"/>
      <c r="U6" s="531"/>
      <c r="V6" s="553"/>
    </row>
    <row r="7" spans="1:22" ht="17.25" customHeight="1">
      <c r="A7" s="542"/>
      <c r="B7" s="542"/>
      <c r="C7" s="535"/>
      <c r="D7" s="539" t="s">
        <v>283</v>
      </c>
      <c r="E7" s="539" t="s">
        <v>306</v>
      </c>
      <c r="F7" s="539" t="s">
        <v>307</v>
      </c>
      <c r="G7" s="539" t="s">
        <v>308</v>
      </c>
      <c r="H7" s="535"/>
      <c r="I7" s="539" t="s">
        <v>306</v>
      </c>
      <c r="J7" s="526" t="s">
        <v>307</v>
      </c>
      <c r="K7" s="526" t="s">
        <v>309</v>
      </c>
      <c r="L7" s="535"/>
      <c r="M7" s="526"/>
      <c r="N7" s="555"/>
      <c r="O7" s="548"/>
      <c r="P7" s="548"/>
      <c r="Q7" s="548"/>
      <c r="R7" s="549"/>
      <c r="S7" s="551"/>
      <c r="T7" s="529"/>
      <c r="U7" s="531"/>
      <c r="V7" s="553"/>
    </row>
    <row r="8" spans="1:22" ht="102" customHeight="1">
      <c r="A8" s="542"/>
      <c r="B8" s="542"/>
      <c r="C8" s="536"/>
      <c r="D8" s="540"/>
      <c r="E8" s="540"/>
      <c r="F8" s="540"/>
      <c r="G8" s="540"/>
      <c r="H8" s="536"/>
      <c r="I8" s="540"/>
      <c r="J8" s="526"/>
      <c r="K8" s="526"/>
      <c r="L8" s="536"/>
      <c r="M8" s="526"/>
      <c r="N8" s="556"/>
      <c r="O8" s="540"/>
      <c r="P8" s="540"/>
      <c r="Q8" s="540"/>
      <c r="R8" s="549"/>
      <c r="S8" s="552"/>
      <c r="T8" s="529"/>
      <c r="U8" s="532"/>
      <c r="V8" s="553"/>
    </row>
    <row r="9" spans="1:22" s="314" customFormat="1" ht="17.25">
      <c r="A9" s="367">
        <v>1</v>
      </c>
      <c r="B9" s="368" t="s">
        <v>3</v>
      </c>
      <c r="C9" s="369">
        <f>E9+F9+G9</f>
        <v>4.384799999999999</v>
      </c>
      <c r="D9" s="370" t="s">
        <v>214</v>
      </c>
      <c r="E9" s="371">
        <v>4.06</v>
      </c>
      <c r="F9" s="372"/>
      <c r="G9" s="373">
        <f>E9*8%</f>
        <v>0.3248</v>
      </c>
      <c r="H9" s="374">
        <f>I9+J9+K9</f>
        <v>4.4254</v>
      </c>
      <c r="I9" s="375">
        <v>4.06</v>
      </c>
      <c r="J9" s="372"/>
      <c r="K9" s="376">
        <f>I9*9%</f>
        <v>0.36539999999999995</v>
      </c>
      <c r="L9" s="377">
        <f>K9-G9</f>
        <v>0.04059999999999997</v>
      </c>
      <c r="M9" s="378" t="s">
        <v>310</v>
      </c>
      <c r="N9" s="378" t="s">
        <v>23</v>
      </c>
      <c r="O9" s="379">
        <f>L9*M9*N9*90000</f>
        <v>3800.159999999997</v>
      </c>
      <c r="P9" s="378" t="s">
        <v>21</v>
      </c>
      <c r="Q9" s="379">
        <f>L9*M9*P9*180000</f>
        <v>3800.159999999997</v>
      </c>
      <c r="R9" s="379">
        <f>O9+Q9</f>
        <v>7600.319999999994</v>
      </c>
      <c r="S9" s="379">
        <f>R9*10.5%</f>
        <v>798.0335999999994</v>
      </c>
      <c r="T9" s="379">
        <f>R9-S9</f>
        <v>6802.2863999999945</v>
      </c>
      <c r="U9" s="380"/>
      <c r="V9" s="381"/>
    </row>
    <row r="10" spans="1:22" s="314" customFormat="1" ht="17.25">
      <c r="A10" s="382">
        <v>2</v>
      </c>
      <c r="B10" s="383" t="s">
        <v>13</v>
      </c>
      <c r="C10" s="384">
        <f>E10+F10+G10</f>
        <v>3.86</v>
      </c>
      <c r="D10" s="385" t="s">
        <v>214</v>
      </c>
      <c r="E10" s="386">
        <v>3.86</v>
      </c>
      <c r="F10" s="387"/>
      <c r="G10" s="388"/>
      <c r="H10" s="384">
        <f>I10+J10+K10</f>
        <v>4.06</v>
      </c>
      <c r="I10" s="389">
        <v>4.06</v>
      </c>
      <c r="J10" s="387"/>
      <c r="K10" s="390"/>
      <c r="L10" s="391">
        <f>I10-E10</f>
        <v>0.19999999999999973</v>
      </c>
      <c r="M10" s="392" t="s">
        <v>311</v>
      </c>
      <c r="N10" s="392" t="s">
        <v>23</v>
      </c>
      <c r="O10" s="393">
        <f>L10*M10*N10*90000</f>
        <v>13679.999999999982</v>
      </c>
      <c r="P10" s="392" t="s">
        <v>21</v>
      </c>
      <c r="Q10" s="393">
        <f>L10*M10*P10*180000</f>
        <v>13679.999999999982</v>
      </c>
      <c r="R10" s="393">
        <f>O10+Q10</f>
        <v>27359.999999999964</v>
      </c>
      <c r="S10" s="393">
        <f>R10*10.5%</f>
        <v>2872.799999999996</v>
      </c>
      <c r="T10" s="393">
        <f>R10-S10</f>
        <v>24487.199999999968</v>
      </c>
      <c r="U10" s="394"/>
      <c r="V10" s="395"/>
    </row>
    <row r="11" spans="1:22" s="197" customFormat="1" ht="13.5" customHeight="1">
      <c r="A11" s="396"/>
      <c r="B11" s="397" t="s">
        <v>312</v>
      </c>
      <c r="C11" s="398">
        <f>SUM(C9:C10)</f>
        <v>8.2448</v>
      </c>
      <c r="D11" s="399"/>
      <c r="E11" s="400">
        <f>E9+E10</f>
        <v>7.92</v>
      </c>
      <c r="F11" s="400"/>
      <c r="G11" s="400">
        <f>G9</f>
        <v>0.3248</v>
      </c>
      <c r="H11" s="398">
        <f>H9+H10</f>
        <v>8.485399999999998</v>
      </c>
      <c r="I11" s="400">
        <f>I9+I10</f>
        <v>8.12</v>
      </c>
      <c r="J11" s="400"/>
      <c r="K11" s="399">
        <f>K9</f>
        <v>0.36539999999999995</v>
      </c>
      <c r="L11" s="401">
        <f>L9+L10</f>
        <v>0.2405999999999997</v>
      </c>
      <c r="M11" s="400"/>
      <c r="N11" s="400"/>
      <c r="O11" s="402">
        <f>O9+O10</f>
        <v>17480.159999999978</v>
      </c>
      <c r="P11" s="402"/>
      <c r="Q11" s="402">
        <f>Q9+Q10</f>
        <v>17480.159999999978</v>
      </c>
      <c r="R11" s="402">
        <f>R9+R10</f>
        <v>34960.319999999956</v>
      </c>
      <c r="S11" s="402">
        <f>SUM(S9:S10)</f>
        <v>3670.8335999999954</v>
      </c>
      <c r="T11" s="402">
        <f>SUM(T9:T10)</f>
        <v>31289.48639999996</v>
      </c>
      <c r="U11" s="403"/>
      <c r="V11" s="404"/>
    </row>
    <row r="12" spans="1:21" ht="29.25" customHeight="1">
      <c r="A12" s="405" t="s">
        <v>313</v>
      </c>
      <c r="B12" s="406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8"/>
      <c r="N12" s="408"/>
      <c r="O12" s="408"/>
      <c r="P12" s="408"/>
      <c r="Q12" s="408"/>
      <c r="R12" s="527"/>
      <c r="S12" s="527"/>
      <c r="T12" s="527"/>
      <c r="U12" s="409"/>
    </row>
    <row r="13" spans="12:21" ht="15.75">
      <c r="L13" s="410" t="s">
        <v>314</v>
      </c>
      <c r="M13" s="410"/>
      <c r="N13" s="410"/>
      <c r="O13" s="410"/>
      <c r="P13" s="410"/>
      <c r="Q13" s="410"/>
      <c r="R13" s="410"/>
      <c r="S13" s="410"/>
      <c r="T13" s="410"/>
      <c r="U13" s="410"/>
    </row>
    <row r="14" spans="1:21" s="411" customFormat="1" ht="19.5">
      <c r="A14" s="541" t="s">
        <v>315</v>
      </c>
      <c r="B14" s="541"/>
      <c r="C14" s="541"/>
      <c r="D14" s="541"/>
      <c r="L14" s="318"/>
      <c r="M14" s="318"/>
      <c r="N14" s="318" t="s">
        <v>187</v>
      </c>
      <c r="O14" s="318"/>
      <c r="P14" s="318"/>
      <c r="Q14" s="318"/>
      <c r="R14" s="318"/>
      <c r="S14" s="541"/>
      <c r="T14" s="541"/>
      <c r="U14" s="541"/>
    </row>
    <row r="15" spans="12:21" s="411" customFormat="1" ht="19.5">
      <c r="L15" s="412"/>
      <c r="M15" s="412"/>
      <c r="O15" s="412"/>
      <c r="P15" s="412"/>
      <c r="Q15" s="412"/>
      <c r="U15" s="412"/>
    </row>
    <row r="16" spans="12:21" s="411" customFormat="1" ht="19.5">
      <c r="L16" s="412"/>
      <c r="M16" s="412"/>
      <c r="O16" s="412"/>
      <c r="P16" s="412"/>
      <c r="Q16" s="412"/>
      <c r="U16" s="412"/>
    </row>
    <row r="17" s="411" customFormat="1" ht="19.5">
      <c r="U17" s="412"/>
    </row>
    <row r="18" s="411" customFormat="1" ht="19.5">
      <c r="U18" s="412"/>
    </row>
    <row r="19" s="411" customFormat="1" ht="19.5">
      <c r="U19" s="412"/>
    </row>
    <row r="20" spans="1:21" s="411" customFormat="1" ht="19.5">
      <c r="A20" s="541" t="s">
        <v>19</v>
      </c>
      <c r="B20" s="541"/>
      <c r="C20" s="541"/>
      <c r="D20" s="541"/>
      <c r="L20" s="318" t="s">
        <v>316</v>
      </c>
      <c r="M20" s="318"/>
      <c r="N20" s="318"/>
      <c r="O20" s="318"/>
      <c r="P20" s="318"/>
      <c r="Q20" s="318"/>
      <c r="R20" s="318"/>
      <c r="S20" s="541"/>
      <c r="T20" s="541"/>
      <c r="U20" s="541"/>
    </row>
    <row r="21" spans="1:21" ht="15.75">
      <c r="A21" s="5"/>
      <c r="B21" s="5"/>
      <c r="M21" s="410"/>
      <c r="N21" s="410"/>
      <c r="O21" s="410"/>
      <c r="P21" s="410"/>
      <c r="Q21" s="410"/>
      <c r="R21" s="410"/>
      <c r="S21" s="5"/>
      <c r="T21" s="5"/>
      <c r="U21" s="5"/>
    </row>
    <row r="22" spans="1:21" ht="15.75">
      <c r="A22" s="5"/>
      <c r="B22" s="5"/>
      <c r="M22" s="410"/>
      <c r="N22" s="410"/>
      <c r="O22" s="410"/>
      <c r="P22" s="410"/>
      <c r="Q22" s="410"/>
      <c r="R22" s="410"/>
      <c r="S22" s="5"/>
      <c r="T22" s="5"/>
      <c r="U22" s="5"/>
    </row>
    <row r="23" spans="1:21" ht="15.75">
      <c r="A23" s="5"/>
      <c r="B23" s="5"/>
      <c r="M23" s="410"/>
      <c r="N23" s="410"/>
      <c r="O23" s="410"/>
      <c r="P23" s="410"/>
      <c r="Q23" s="410"/>
      <c r="R23" s="410"/>
      <c r="S23" s="5"/>
      <c r="T23" s="5"/>
      <c r="U23" s="5"/>
    </row>
    <row r="24" spans="1:21" ht="15.75">
      <c r="A24" s="5"/>
      <c r="B24" s="5"/>
      <c r="M24" s="410"/>
      <c r="N24" s="410"/>
      <c r="O24" s="410"/>
      <c r="P24" s="410"/>
      <c r="Q24" s="410"/>
      <c r="R24" s="410"/>
      <c r="S24" s="5"/>
      <c r="T24" s="5"/>
      <c r="U24" s="5"/>
    </row>
    <row r="25" spans="1:21" ht="15.75">
      <c r="A25" s="5"/>
      <c r="B25" s="5"/>
      <c r="M25" s="410"/>
      <c r="N25" s="410"/>
      <c r="O25" s="410"/>
      <c r="P25" s="410"/>
      <c r="Q25" s="410"/>
      <c r="R25" s="410"/>
      <c r="S25" s="5"/>
      <c r="T25" s="5"/>
      <c r="U25" s="5"/>
    </row>
    <row r="26" spans="1:21" ht="15.75">
      <c r="A26" s="5"/>
      <c r="B26" s="5"/>
      <c r="M26" s="410"/>
      <c r="N26" s="410"/>
      <c r="O26" s="410"/>
      <c r="P26" s="410"/>
      <c r="Q26" s="410"/>
      <c r="R26" s="410"/>
      <c r="S26" s="5"/>
      <c r="T26" s="5"/>
      <c r="U26" s="5"/>
    </row>
    <row r="27" spans="1:21" ht="15.75">
      <c r="A27" s="5"/>
      <c r="B27" s="5"/>
      <c r="M27" s="410"/>
      <c r="N27" s="410"/>
      <c r="O27" s="410"/>
      <c r="P27" s="410"/>
      <c r="Q27" s="410"/>
      <c r="R27" s="410"/>
      <c r="S27" s="5"/>
      <c r="T27" s="5"/>
      <c r="U27" s="5"/>
    </row>
    <row r="28" spans="1:21" ht="15.75">
      <c r="A28" s="5"/>
      <c r="B28" s="5"/>
      <c r="M28" s="410"/>
      <c r="N28" s="410"/>
      <c r="O28" s="410"/>
      <c r="P28" s="410"/>
      <c r="Q28" s="410"/>
      <c r="R28" s="410"/>
      <c r="S28" s="5"/>
      <c r="T28" s="5"/>
      <c r="U28" s="5"/>
    </row>
    <row r="29" spans="1:21" ht="15.75">
      <c r="A29" s="5"/>
      <c r="B29" s="5"/>
      <c r="M29" s="410"/>
      <c r="N29" s="410"/>
      <c r="O29" s="410"/>
      <c r="P29" s="410"/>
      <c r="Q29" s="410"/>
      <c r="R29" s="410"/>
      <c r="S29" s="5"/>
      <c r="T29" s="5"/>
      <c r="U29" s="5"/>
    </row>
    <row r="30" spans="1:21" ht="15.75">
      <c r="A30" s="5"/>
      <c r="B30" s="5"/>
      <c r="M30" s="410"/>
      <c r="N30" s="410"/>
      <c r="O30" s="410"/>
      <c r="P30" s="410"/>
      <c r="Q30" s="410"/>
      <c r="R30" s="410"/>
      <c r="S30" s="5"/>
      <c r="T30" s="5"/>
      <c r="U30" s="5"/>
    </row>
    <row r="31" spans="1:21" ht="15.75">
      <c r="A31" s="5"/>
      <c r="B31" s="5"/>
      <c r="M31" s="410"/>
      <c r="N31" s="410"/>
      <c r="O31" s="410"/>
      <c r="P31" s="410"/>
      <c r="Q31" s="410"/>
      <c r="R31" s="410"/>
      <c r="S31" s="5"/>
      <c r="T31" s="5"/>
      <c r="U31" s="5"/>
    </row>
    <row r="32" spans="1:21" ht="15.75">
      <c r="A32" s="5"/>
      <c r="B32" s="5"/>
      <c r="M32" s="410"/>
      <c r="N32" s="410"/>
      <c r="O32" s="410"/>
      <c r="P32" s="410"/>
      <c r="Q32" s="410"/>
      <c r="R32" s="410"/>
      <c r="S32" s="5"/>
      <c r="T32" s="5"/>
      <c r="U32" s="5"/>
    </row>
    <row r="33" spans="1:21" ht="15.75">
      <c r="A33" s="5"/>
      <c r="B33" s="5"/>
      <c r="M33" s="410"/>
      <c r="N33" s="410"/>
      <c r="O33" s="410"/>
      <c r="P33" s="410"/>
      <c r="Q33" s="410"/>
      <c r="R33" s="410"/>
      <c r="S33" s="5"/>
      <c r="T33" s="5"/>
      <c r="U33" s="5"/>
    </row>
    <row r="34" spans="1:21" ht="15.75">
      <c r="A34" s="5"/>
      <c r="B34" s="5"/>
      <c r="M34" s="410"/>
      <c r="N34" s="410"/>
      <c r="O34" s="410"/>
      <c r="P34" s="410"/>
      <c r="Q34" s="410"/>
      <c r="R34" s="410"/>
      <c r="S34" s="5"/>
      <c r="T34" s="5"/>
      <c r="U34" s="5"/>
    </row>
    <row r="35" spans="1:21" ht="15.75">
      <c r="A35" s="5"/>
      <c r="B35" s="5"/>
      <c r="M35" s="410"/>
      <c r="N35" s="410"/>
      <c r="O35" s="410"/>
      <c r="P35" s="410"/>
      <c r="Q35" s="410"/>
      <c r="R35" s="410"/>
      <c r="S35" s="5"/>
      <c r="T35" s="5"/>
      <c r="U35" s="5"/>
    </row>
    <row r="36" spans="1:21" ht="15.75">
      <c r="A36" s="5"/>
      <c r="B36" s="5"/>
      <c r="M36" s="410"/>
      <c r="N36" s="410"/>
      <c r="O36" s="410"/>
      <c r="P36" s="410"/>
      <c r="Q36" s="410"/>
      <c r="R36" s="410"/>
      <c r="S36" s="5"/>
      <c r="T36" s="5"/>
      <c r="U36" s="5"/>
    </row>
    <row r="37" spans="1:21" ht="15.75">
      <c r="A37" s="5"/>
      <c r="B37" s="5"/>
      <c r="M37" s="410"/>
      <c r="N37" s="410"/>
      <c r="O37" s="410"/>
      <c r="P37" s="410"/>
      <c r="Q37" s="410"/>
      <c r="R37" s="410"/>
      <c r="S37" s="5"/>
      <c r="T37" s="5"/>
      <c r="U37" s="5"/>
    </row>
    <row r="38" spans="1:21" ht="15.75">
      <c r="A38" s="5"/>
      <c r="B38" s="5"/>
      <c r="M38" s="410"/>
      <c r="N38" s="410"/>
      <c r="O38" s="410"/>
      <c r="P38" s="410"/>
      <c r="Q38" s="410"/>
      <c r="R38" s="410"/>
      <c r="S38" s="5"/>
      <c r="T38" s="5"/>
      <c r="U38" s="5"/>
    </row>
    <row r="39" spans="1:21" ht="15.75">
      <c r="A39" s="5"/>
      <c r="B39" s="5"/>
      <c r="M39" s="410"/>
      <c r="N39" s="410"/>
      <c r="O39" s="410"/>
      <c r="P39" s="410"/>
      <c r="Q39" s="410"/>
      <c r="R39" s="410"/>
      <c r="S39" s="5"/>
      <c r="T39" s="5"/>
      <c r="U39" s="5"/>
    </row>
    <row r="40" spans="1:21" ht="15.75">
      <c r="A40" s="5"/>
      <c r="B40" s="5"/>
      <c r="M40" s="410"/>
      <c r="N40" s="410"/>
      <c r="O40" s="410"/>
      <c r="P40" s="410"/>
      <c r="Q40" s="410"/>
      <c r="R40" s="410"/>
      <c r="S40" s="5"/>
      <c r="T40" s="5"/>
      <c r="U40" s="5"/>
    </row>
    <row r="41" spans="1:21" ht="15.75">
      <c r="A41" s="5"/>
      <c r="B41" s="5"/>
      <c r="M41" s="410"/>
      <c r="N41" s="410"/>
      <c r="O41" s="410"/>
      <c r="P41" s="410"/>
      <c r="Q41" s="410"/>
      <c r="R41" s="410"/>
      <c r="S41" s="5"/>
      <c r="T41" s="5"/>
      <c r="U41" s="5"/>
    </row>
    <row r="42" spans="1:21" ht="15.75">
      <c r="A42" s="5"/>
      <c r="B42" s="5"/>
      <c r="M42" s="410"/>
      <c r="N42" s="410"/>
      <c r="O42" s="410"/>
      <c r="P42" s="410"/>
      <c r="Q42" s="410"/>
      <c r="R42" s="410"/>
      <c r="S42" s="5"/>
      <c r="T42" s="5"/>
      <c r="U42" s="5"/>
    </row>
    <row r="43" spans="1:21" ht="15.75">
      <c r="A43" s="5"/>
      <c r="B43" s="5"/>
      <c r="M43" s="410"/>
      <c r="N43" s="410"/>
      <c r="O43" s="410"/>
      <c r="P43" s="410"/>
      <c r="Q43" s="410"/>
      <c r="R43" s="410"/>
      <c r="S43" s="5"/>
      <c r="T43" s="5"/>
      <c r="U43" s="5"/>
    </row>
    <row r="44" spans="1:21" ht="15.75">
      <c r="A44" s="5"/>
      <c r="B44" s="5"/>
      <c r="M44" s="410"/>
      <c r="N44" s="410"/>
      <c r="O44" s="410"/>
      <c r="P44" s="410"/>
      <c r="Q44" s="410"/>
      <c r="R44" s="410"/>
      <c r="S44" s="5"/>
      <c r="T44" s="5"/>
      <c r="U44" s="5"/>
    </row>
    <row r="45" spans="1:21" ht="15.75">
      <c r="A45" s="5"/>
      <c r="B45" s="5"/>
      <c r="M45" s="410"/>
      <c r="N45" s="410"/>
      <c r="O45" s="410"/>
      <c r="P45" s="410"/>
      <c r="Q45" s="410"/>
      <c r="R45" s="410"/>
      <c r="S45" s="5"/>
      <c r="T45" s="5"/>
      <c r="U45" s="5"/>
    </row>
    <row r="46" spans="1:21" ht="15.75">
      <c r="A46" s="5"/>
      <c r="B46" s="5"/>
      <c r="M46" s="410"/>
      <c r="N46" s="410"/>
      <c r="O46" s="410"/>
      <c r="P46" s="410"/>
      <c r="Q46" s="410"/>
      <c r="R46" s="410"/>
      <c r="S46" s="5"/>
      <c r="T46" s="5"/>
      <c r="U46" s="5"/>
    </row>
    <row r="47" spans="1:21" ht="15.75">
      <c r="A47" s="5"/>
      <c r="B47" s="5"/>
      <c r="M47" s="410"/>
      <c r="N47" s="410"/>
      <c r="O47" s="410"/>
      <c r="P47" s="410"/>
      <c r="Q47" s="410"/>
      <c r="R47" s="410"/>
      <c r="S47" s="5"/>
      <c r="T47" s="5"/>
      <c r="U47" s="5"/>
    </row>
    <row r="48" spans="1:21" ht="15.75">
      <c r="A48" s="5"/>
      <c r="B48" s="5"/>
      <c r="M48" s="410"/>
      <c r="N48" s="410"/>
      <c r="O48" s="410"/>
      <c r="P48" s="410"/>
      <c r="Q48" s="410"/>
      <c r="R48" s="410"/>
      <c r="S48" s="5"/>
      <c r="T48" s="5"/>
      <c r="U48" s="5"/>
    </row>
    <row r="49" spans="1:21" ht="16.5">
      <c r="A49" s="546" t="s">
        <v>240</v>
      </c>
      <c r="B49" s="546"/>
      <c r="C49" s="361"/>
      <c r="D49" s="361"/>
      <c r="E49" s="361"/>
      <c r="F49" s="361"/>
      <c r="G49" s="361"/>
      <c r="H49" s="547" t="s">
        <v>317</v>
      </c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7"/>
    </row>
    <row r="50" spans="1:21" ht="16.5">
      <c r="A50" s="541" t="s">
        <v>264</v>
      </c>
      <c r="B50" s="541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"/>
      <c r="U50" s="362"/>
    </row>
    <row r="51" spans="1:2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</row>
    <row r="52" spans="1:22" ht="16.5" customHeight="1">
      <c r="A52" s="542" t="s">
        <v>292</v>
      </c>
      <c r="B52" s="542" t="s">
        <v>293</v>
      </c>
      <c r="C52" s="543" t="s">
        <v>294</v>
      </c>
      <c r="D52" s="544"/>
      <c r="E52" s="544"/>
      <c r="F52" s="544"/>
      <c r="G52" s="545"/>
      <c r="H52" s="542" t="s">
        <v>295</v>
      </c>
      <c r="I52" s="542"/>
      <c r="J52" s="542"/>
      <c r="K52" s="542"/>
      <c r="L52" s="534" t="s">
        <v>296</v>
      </c>
      <c r="M52" s="528"/>
      <c r="N52" s="528"/>
      <c r="O52" s="528"/>
      <c r="P52" s="528"/>
      <c r="Q52" s="528"/>
      <c r="R52" s="413"/>
      <c r="S52" s="414" t="s">
        <v>318</v>
      </c>
      <c r="T52" s="529" t="s">
        <v>302</v>
      </c>
      <c r="U52" s="530" t="s">
        <v>257</v>
      </c>
      <c r="V52" s="533" t="s">
        <v>79</v>
      </c>
    </row>
    <row r="53" spans="1:22" ht="16.5" customHeight="1">
      <c r="A53" s="542"/>
      <c r="B53" s="542"/>
      <c r="C53" s="534" t="s">
        <v>303</v>
      </c>
      <c r="D53" s="537" t="s">
        <v>304</v>
      </c>
      <c r="E53" s="537"/>
      <c r="F53" s="537"/>
      <c r="G53" s="537"/>
      <c r="H53" s="534" t="s">
        <v>305</v>
      </c>
      <c r="I53" s="537"/>
      <c r="J53" s="537"/>
      <c r="K53" s="537"/>
      <c r="L53" s="535"/>
      <c r="M53" s="415"/>
      <c r="N53" s="415"/>
      <c r="O53" s="415"/>
      <c r="P53" s="415"/>
      <c r="Q53" s="415"/>
      <c r="R53" s="363"/>
      <c r="S53" s="538" t="s">
        <v>319</v>
      </c>
      <c r="T53" s="529"/>
      <c r="U53" s="531"/>
      <c r="V53" s="533"/>
    </row>
    <row r="54" spans="1:22" ht="16.5" customHeight="1">
      <c r="A54" s="542"/>
      <c r="B54" s="542"/>
      <c r="C54" s="535"/>
      <c r="D54" s="539" t="s">
        <v>283</v>
      </c>
      <c r="E54" s="539" t="s">
        <v>306</v>
      </c>
      <c r="F54" s="539" t="s">
        <v>320</v>
      </c>
      <c r="G54" s="539" t="s">
        <v>321</v>
      </c>
      <c r="H54" s="535"/>
      <c r="I54" s="539" t="s">
        <v>306</v>
      </c>
      <c r="J54" s="526" t="s">
        <v>320</v>
      </c>
      <c r="K54" s="526" t="s">
        <v>321</v>
      </c>
      <c r="L54" s="535"/>
      <c r="M54" s="364"/>
      <c r="N54" s="364"/>
      <c r="O54" s="364"/>
      <c r="P54" s="364"/>
      <c r="Q54" s="364"/>
      <c r="R54" s="365"/>
      <c r="S54" s="538"/>
      <c r="T54" s="529"/>
      <c r="U54" s="531"/>
      <c r="V54" s="533"/>
    </row>
    <row r="55" spans="1:22" ht="62.25" customHeight="1">
      <c r="A55" s="542"/>
      <c r="B55" s="542"/>
      <c r="C55" s="536"/>
      <c r="D55" s="540"/>
      <c r="E55" s="540"/>
      <c r="F55" s="540"/>
      <c r="G55" s="540"/>
      <c r="H55" s="536"/>
      <c r="I55" s="540"/>
      <c r="J55" s="526"/>
      <c r="K55" s="526"/>
      <c r="L55" s="536"/>
      <c r="M55" s="364"/>
      <c r="N55" s="364"/>
      <c r="O55" s="364"/>
      <c r="P55" s="364"/>
      <c r="Q55" s="364"/>
      <c r="R55" s="365"/>
      <c r="S55" s="538"/>
      <c r="T55" s="529"/>
      <c r="U55" s="532"/>
      <c r="V55" s="533"/>
    </row>
    <row r="56" spans="1:23" ht="38.25">
      <c r="A56" s="416">
        <v>1</v>
      </c>
      <c r="B56" s="417" t="s">
        <v>322</v>
      </c>
      <c r="C56" s="418">
        <f>E56+F56+G56</f>
        <v>4.2768</v>
      </c>
      <c r="D56" s="231" t="s">
        <v>323</v>
      </c>
      <c r="E56" s="424">
        <v>3.96</v>
      </c>
      <c r="F56" s="425"/>
      <c r="G56" s="231">
        <f>E56*8%</f>
        <v>0.3168</v>
      </c>
      <c r="H56" s="418">
        <f>I56+J56+K56</f>
        <v>4.27</v>
      </c>
      <c r="I56" s="426">
        <v>4.27</v>
      </c>
      <c r="J56" s="425"/>
      <c r="K56" s="427"/>
      <c r="L56" s="428">
        <f>I56-E56</f>
        <v>0.3099999999999996</v>
      </c>
      <c r="M56" s="429"/>
      <c r="N56" s="429"/>
      <c r="O56" s="429"/>
      <c r="P56" s="429"/>
      <c r="Q56" s="429"/>
      <c r="R56" s="430"/>
      <c r="S56" s="430" t="e">
        <f>#REF!*10.5%</f>
        <v>#REF!</v>
      </c>
      <c r="T56" s="430" t="e">
        <f>#REF!-#REF!</f>
        <v>#REF!</v>
      </c>
      <c r="U56" s="431"/>
      <c r="V56" s="432" t="s">
        <v>324</v>
      </c>
      <c r="W56" s="314"/>
    </row>
    <row r="57" spans="1:23" ht="63.75">
      <c r="A57" s="433">
        <v>2</v>
      </c>
      <c r="B57" s="434" t="s">
        <v>325</v>
      </c>
      <c r="C57" s="435">
        <f>E57+F57+G57</f>
        <v>3.5964</v>
      </c>
      <c r="D57" s="436" t="s">
        <v>326</v>
      </c>
      <c r="E57" s="437">
        <f>3.33</f>
        <v>3.33</v>
      </c>
      <c r="F57" s="438"/>
      <c r="G57" s="436">
        <f>E57*8%</f>
        <v>0.2664</v>
      </c>
      <c r="H57" s="435">
        <f>I57+J57+K57</f>
        <v>3.66</v>
      </c>
      <c r="I57" s="439">
        <v>3.66</v>
      </c>
      <c r="J57" s="438"/>
      <c r="K57" s="440"/>
      <c r="L57" s="441">
        <f>I57-E57</f>
        <v>0.33000000000000007</v>
      </c>
      <c r="M57" s="442"/>
      <c r="N57" s="442"/>
      <c r="O57" s="442"/>
      <c r="P57" s="442"/>
      <c r="Q57" s="442"/>
      <c r="R57" s="443"/>
      <c r="S57" s="443" t="e">
        <f>#REF!*10.5%</f>
        <v>#REF!</v>
      </c>
      <c r="T57" s="443" t="e">
        <f>#REF!-#REF!</f>
        <v>#REF!</v>
      </c>
      <c r="U57" s="444"/>
      <c r="V57" s="445" t="s">
        <v>273</v>
      </c>
      <c r="W57" s="314"/>
    </row>
    <row r="58" spans="1:23" ht="63.75">
      <c r="A58" s="433">
        <v>3</v>
      </c>
      <c r="B58" s="446" t="s">
        <v>271</v>
      </c>
      <c r="C58" s="435"/>
      <c r="D58" s="436" t="s">
        <v>214</v>
      </c>
      <c r="E58" s="439">
        <v>4.06</v>
      </c>
      <c r="F58" s="438"/>
      <c r="G58" s="447">
        <f>E58*9%</f>
        <v>0.36539999999999995</v>
      </c>
      <c r="H58" s="439">
        <v>4.06</v>
      </c>
      <c r="I58" s="438"/>
      <c r="J58" s="447"/>
      <c r="K58" s="447">
        <f>H58*10%</f>
        <v>0.40599999999999997</v>
      </c>
      <c r="L58" s="441">
        <f>K58-G58</f>
        <v>0.040600000000000025</v>
      </c>
      <c r="M58" s="442"/>
      <c r="N58" s="442"/>
      <c r="O58" s="442"/>
      <c r="P58" s="442"/>
      <c r="Q58" s="442"/>
      <c r="R58" s="443"/>
      <c r="S58" s="443" t="e">
        <f>#REF!*10.5%</f>
        <v>#REF!</v>
      </c>
      <c r="T58" s="443" t="e">
        <f>#REF!-#REF!</f>
        <v>#REF!</v>
      </c>
      <c r="U58" s="444"/>
      <c r="V58" s="445" t="s">
        <v>273</v>
      </c>
      <c r="W58" s="314"/>
    </row>
    <row r="59" spans="1:23" ht="31.5">
      <c r="A59" s="448">
        <v>4</v>
      </c>
      <c r="B59" s="282" t="s">
        <v>274</v>
      </c>
      <c r="C59" s="449">
        <f>E59+F59+G59</f>
        <v>4.4254</v>
      </c>
      <c r="D59" s="233" t="s">
        <v>214</v>
      </c>
      <c r="E59" s="450">
        <v>4.06</v>
      </c>
      <c r="F59" s="451"/>
      <c r="G59" s="283">
        <f>E59*9%</f>
        <v>0.36539999999999995</v>
      </c>
      <c r="H59" s="450">
        <v>4.06</v>
      </c>
      <c r="I59" s="451"/>
      <c r="J59" s="283"/>
      <c r="K59" s="283">
        <f>H59*10%</f>
        <v>0.40599999999999997</v>
      </c>
      <c r="L59" s="452">
        <f>K59-G59</f>
        <v>0.040600000000000025</v>
      </c>
      <c r="M59" s="453"/>
      <c r="N59" s="453"/>
      <c r="O59" s="453"/>
      <c r="P59" s="453"/>
      <c r="Q59" s="453"/>
      <c r="R59" s="454"/>
      <c r="S59" s="454" t="e">
        <f>#REF!*10.5%</f>
        <v>#REF!</v>
      </c>
      <c r="T59" s="454" t="e">
        <f>#REF!-#REF!</f>
        <v>#REF!</v>
      </c>
      <c r="U59" s="394"/>
      <c r="V59" s="395" t="s">
        <v>275</v>
      </c>
      <c r="W59" s="314"/>
    </row>
    <row r="60" spans="1:22" ht="15.75">
      <c r="A60" s="455"/>
      <c r="B60" s="456" t="s">
        <v>312</v>
      </c>
      <c r="C60" s="457"/>
      <c r="D60" s="458"/>
      <c r="E60" s="459"/>
      <c r="F60" s="460"/>
      <c r="G60" s="460"/>
      <c r="H60" s="457"/>
      <c r="I60" s="459"/>
      <c r="J60" s="460"/>
      <c r="K60" s="458"/>
      <c r="L60" s="461"/>
      <c r="M60" s="460"/>
      <c r="N60" s="460"/>
      <c r="O60" s="460"/>
      <c r="P60" s="460"/>
      <c r="Q60" s="460"/>
      <c r="R60" s="402"/>
      <c r="S60" s="402" t="e">
        <f>SUM(S56:S59)</f>
        <v>#REF!</v>
      </c>
      <c r="T60" s="402" t="e">
        <f>SUM(T56:T59)</f>
        <v>#REF!</v>
      </c>
      <c r="U60" s="403"/>
      <c r="V60" s="462"/>
    </row>
    <row r="61" spans="1:21" ht="18.75">
      <c r="A61" s="406" t="s">
        <v>327</v>
      </c>
      <c r="B61" s="406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8"/>
      <c r="N61" s="408"/>
      <c r="O61" s="408"/>
      <c r="P61" s="408"/>
      <c r="Q61" s="408"/>
      <c r="R61" s="527"/>
      <c r="S61" s="527"/>
      <c r="T61" s="527"/>
      <c r="U61" s="409"/>
    </row>
    <row r="62" spans="13:21" ht="15.75">
      <c r="M62" s="410"/>
      <c r="N62" s="410"/>
      <c r="O62" s="410"/>
      <c r="P62" s="410"/>
      <c r="Q62" s="410"/>
      <c r="R62" s="410"/>
      <c r="S62" s="481"/>
      <c r="T62" s="481"/>
      <c r="U62" s="481"/>
    </row>
    <row r="63" spans="1:21" ht="15.75">
      <c r="A63" s="481" t="s">
        <v>315</v>
      </c>
      <c r="B63" s="481"/>
      <c r="M63" s="410"/>
      <c r="N63" s="410"/>
      <c r="O63" s="410"/>
      <c r="P63" s="410"/>
      <c r="Q63" s="410"/>
      <c r="R63" s="410"/>
      <c r="S63" s="481"/>
      <c r="T63" s="481"/>
      <c r="U63" s="481"/>
    </row>
    <row r="64" spans="13:17" ht="15.75">
      <c r="M64" s="221"/>
      <c r="N64" s="221"/>
      <c r="O64" s="221"/>
      <c r="P64" s="221"/>
      <c r="Q64" s="221"/>
    </row>
    <row r="65" spans="13:17" ht="15.75">
      <c r="M65" s="221"/>
      <c r="N65" s="221"/>
      <c r="O65" s="221"/>
      <c r="P65" s="221"/>
      <c r="Q65" s="221"/>
    </row>
    <row r="69" spans="1:21" ht="15.75">
      <c r="A69" s="481" t="s">
        <v>278</v>
      </c>
      <c r="B69" s="481"/>
      <c r="M69" s="410"/>
      <c r="N69" s="410"/>
      <c r="O69" s="410"/>
      <c r="P69" s="410"/>
      <c r="Q69" s="410"/>
      <c r="R69" s="410"/>
      <c r="S69" s="481"/>
      <c r="T69" s="481"/>
      <c r="U69" s="481"/>
    </row>
    <row r="70" spans="1:21" ht="15.75">
      <c r="A70" s="5"/>
      <c r="B70" s="5"/>
      <c r="M70" s="410"/>
      <c r="N70" s="410"/>
      <c r="O70" s="410"/>
      <c r="P70" s="410"/>
      <c r="Q70" s="410"/>
      <c r="R70" s="410"/>
      <c r="S70" s="5"/>
      <c r="T70" s="5"/>
      <c r="U70" s="5"/>
    </row>
    <row r="71" spans="1:21" ht="15.75">
      <c r="A71" s="5"/>
      <c r="B71" s="5"/>
      <c r="M71" s="410"/>
      <c r="N71" s="410"/>
      <c r="O71" s="410"/>
      <c r="P71" s="410"/>
      <c r="Q71" s="410"/>
      <c r="R71" s="410"/>
      <c r="S71" s="5"/>
      <c r="T71" s="5"/>
      <c r="U71" s="5"/>
    </row>
  </sheetData>
  <sheetProtection/>
  <mergeCells count="65">
    <mergeCell ref="H1:U1"/>
    <mergeCell ref="A3:B3"/>
    <mergeCell ref="A5:A8"/>
    <mergeCell ref="B5:B8"/>
    <mergeCell ref="C5:G5"/>
    <mergeCell ref="H5:K5"/>
    <mergeCell ref="L5:L8"/>
    <mergeCell ref="M5:M8"/>
    <mergeCell ref="N5:O5"/>
    <mergeCell ref="P5:Q5"/>
    <mergeCell ref="T5:T8"/>
    <mergeCell ref="U5:U8"/>
    <mergeCell ref="V5:V8"/>
    <mergeCell ref="C6:C8"/>
    <mergeCell ref="D6:G6"/>
    <mergeCell ref="H6:H8"/>
    <mergeCell ref="I6:K6"/>
    <mergeCell ref="N6:N8"/>
    <mergeCell ref="J7:J8"/>
    <mergeCell ref="K7:K8"/>
    <mergeCell ref="R5:R8"/>
    <mergeCell ref="S5:S8"/>
    <mergeCell ref="A49:B49"/>
    <mergeCell ref="H49:U49"/>
    <mergeCell ref="O6:O8"/>
    <mergeCell ref="P6:P8"/>
    <mergeCell ref="Q6:Q8"/>
    <mergeCell ref="D7:D8"/>
    <mergeCell ref="E7:E8"/>
    <mergeCell ref="F7:F8"/>
    <mergeCell ref="G7:G8"/>
    <mergeCell ref="I7:I8"/>
    <mergeCell ref="R12:T12"/>
    <mergeCell ref="A14:D14"/>
    <mergeCell ref="S14:U14"/>
    <mergeCell ref="A20:D20"/>
    <mergeCell ref="S20:U20"/>
    <mergeCell ref="H52:K52"/>
    <mergeCell ref="L52:L55"/>
    <mergeCell ref="E54:E55"/>
    <mergeCell ref="F54:F55"/>
    <mergeCell ref="G54:G55"/>
    <mergeCell ref="I54:I55"/>
    <mergeCell ref="A50:B50"/>
    <mergeCell ref="A52:A55"/>
    <mergeCell ref="B52:B55"/>
    <mergeCell ref="C52:G52"/>
    <mergeCell ref="H53:H55"/>
    <mergeCell ref="I53:K53"/>
    <mergeCell ref="S53:S55"/>
    <mergeCell ref="D54:D55"/>
    <mergeCell ref="M52:Q52"/>
    <mergeCell ref="T52:T55"/>
    <mergeCell ref="U52:U55"/>
    <mergeCell ref="V52:V55"/>
    <mergeCell ref="A69:B69"/>
    <mergeCell ref="S69:U69"/>
    <mergeCell ref="J54:J55"/>
    <mergeCell ref="K54:K55"/>
    <mergeCell ref="R61:T61"/>
    <mergeCell ref="S62:U62"/>
    <mergeCell ref="A63:B63"/>
    <mergeCell ref="S63:U63"/>
    <mergeCell ref="C53:C55"/>
    <mergeCell ref="D53:G5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4">
      <selection activeCell="D11" sqref="D11"/>
    </sheetView>
  </sheetViews>
  <sheetFormatPr defaultColWidth="9.00390625" defaultRowHeight="15.75"/>
  <cols>
    <col min="1" max="1" width="2.75390625" style="0" customWidth="1"/>
    <col min="2" max="2" width="17.625" style="0" customWidth="1"/>
    <col min="3" max="3" width="6.50390625" style="0" customWidth="1"/>
    <col min="4" max="4" width="7.625" style="0" customWidth="1"/>
    <col min="5" max="5" width="7.00390625" style="0" customWidth="1"/>
    <col min="6" max="6" width="3.125" style="0" customWidth="1"/>
    <col min="7" max="7" width="8.375" style="0" customWidth="1"/>
    <col min="8" max="8" width="7.625" style="0" customWidth="1"/>
    <col min="9" max="9" width="7.00390625" style="0" customWidth="1"/>
    <col min="10" max="10" width="4.25390625" style="0" customWidth="1"/>
    <col min="11" max="11" width="7.50390625" style="0" customWidth="1"/>
    <col min="12" max="12" width="8.25390625" style="0" customWidth="1"/>
    <col min="13" max="14" width="5.625" style="0" customWidth="1"/>
    <col min="15" max="15" width="7.00390625" style="0" customWidth="1"/>
    <col min="16" max="16" width="8.75390625" style="0" customWidth="1"/>
    <col min="17" max="17" width="8.625" style="0" customWidth="1"/>
    <col min="18" max="18" width="8.875" style="0" customWidth="1"/>
    <col min="19" max="19" width="6.00390625" style="221" customWidth="1"/>
    <col min="20" max="20" width="5.00390625" style="0" customWidth="1"/>
    <col min="21" max="23" width="7.00390625" style="0" customWidth="1"/>
  </cols>
  <sheetData>
    <row r="1" spans="1:19" ht="18.75" customHeight="1">
      <c r="A1" s="315" t="s">
        <v>240</v>
      </c>
      <c r="B1" s="315"/>
      <c r="C1" s="361"/>
      <c r="D1" s="361"/>
      <c r="E1" s="361"/>
      <c r="F1" s="361"/>
      <c r="G1" s="361"/>
      <c r="H1" s="547" t="s">
        <v>291</v>
      </c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</row>
    <row r="2" spans="1:19" ht="18" customHeight="1">
      <c r="A2" s="318" t="s">
        <v>71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"/>
      <c r="S2" s="362"/>
    </row>
    <row r="3" spans="1:19" ht="18" customHeight="1">
      <c r="A3" s="525" t="s">
        <v>191</v>
      </c>
      <c r="B3" s="525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"/>
      <c r="S3" s="362"/>
    </row>
    <row r="4" spans="1:19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</row>
    <row r="5" spans="1:20" ht="17.25" customHeight="1">
      <c r="A5" s="542" t="s">
        <v>292</v>
      </c>
      <c r="B5" s="542" t="s">
        <v>293</v>
      </c>
      <c r="C5" s="543" t="s">
        <v>294</v>
      </c>
      <c r="D5" s="544"/>
      <c r="E5" s="544"/>
      <c r="F5" s="544"/>
      <c r="G5" s="545"/>
      <c r="H5" s="542" t="s">
        <v>295</v>
      </c>
      <c r="I5" s="542"/>
      <c r="J5" s="542"/>
      <c r="K5" s="542"/>
      <c r="L5" s="534" t="s">
        <v>296</v>
      </c>
      <c r="M5" s="526" t="s">
        <v>328</v>
      </c>
      <c r="N5" s="526" t="s">
        <v>297</v>
      </c>
      <c r="O5" s="549" t="s">
        <v>329</v>
      </c>
      <c r="P5" s="549" t="s">
        <v>330</v>
      </c>
      <c r="Q5" s="550" t="s">
        <v>331</v>
      </c>
      <c r="R5" s="529" t="s">
        <v>302</v>
      </c>
      <c r="S5" s="530" t="s">
        <v>257</v>
      </c>
      <c r="T5" s="553" t="s">
        <v>79</v>
      </c>
    </row>
    <row r="6" spans="1:20" ht="27" customHeight="1">
      <c r="A6" s="542"/>
      <c r="B6" s="542"/>
      <c r="C6" s="534" t="s">
        <v>303</v>
      </c>
      <c r="D6" s="537" t="s">
        <v>304</v>
      </c>
      <c r="E6" s="537"/>
      <c r="F6" s="537"/>
      <c r="G6" s="537"/>
      <c r="H6" s="534" t="s">
        <v>305</v>
      </c>
      <c r="I6" s="537" t="s">
        <v>304</v>
      </c>
      <c r="J6" s="537"/>
      <c r="K6" s="537"/>
      <c r="L6" s="535"/>
      <c r="M6" s="526"/>
      <c r="N6" s="526"/>
      <c r="O6" s="549"/>
      <c r="P6" s="549"/>
      <c r="Q6" s="551"/>
      <c r="R6" s="529"/>
      <c r="S6" s="531"/>
      <c r="T6" s="553"/>
    </row>
    <row r="7" spans="1:20" ht="17.25" customHeight="1">
      <c r="A7" s="542"/>
      <c r="B7" s="542"/>
      <c r="C7" s="535"/>
      <c r="D7" s="539" t="s">
        <v>283</v>
      </c>
      <c r="E7" s="539" t="s">
        <v>306</v>
      </c>
      <c r="F7" s="539" t="s">
        <v>307</v>
      </c>
      <c r="G7" s="539" t="s">
        <v>308</v>
      </c>
      <c r="H7" s="535"/>
      <c r="I7" s="539" t="s">
        <v>306</v>
      </c>
      <c r="J7" s="526" t="s">
        <v>307</v>
      </c>
      <c r="K7" s="526" t="s">
        <v>309</v>
      </c>
      <c r="L7" s="535"/>
      <c r="M7" s="526"/>
      <c r="N7" s="526"/>
      <c r="O7" s="549"/>
      <c r="P7" s="549"/>
      <c r="Q7" s="551"/>
      <c r="R7" s="529"/>
      <c r="S7" s="531"/>
      <c r="T7" s="553"/>
    </row>
    <row r="8" spans="1:20" ht="102" customHeight="1">
      <c r="A8" s="542"/>
      <c r="B8" s="542"/>
      <c r="C8" s="536"/>
      <c r="D8" s="540"/>
      <c r="E8" s="540"/>
      <c r="F8" s="540"/>
      <c r="G8" s="540"/>
      <c r="H8" s="536"/>
      <c r="I8" s="540"/>
      <c r="J8" s="526"/>
      <c r="K8" s="526"/>
      <c r="L8" s="536"/>
      <c r="M8" s="526"/>
      <c r="N8" s="526"/>
      <c r="O8" s="549"/>
      <c r="P8" s="549"/>
      <c r="Q8" s="552"/>
      <c r="R8" s="529"/>
      <c r="S8" s="532"/>
      <c r="T8" s="553"/>
    </row>
    <row r="9" spans="1:20" s="314" customFormat="1" ht="17.25">
      <c r="A9" s="367">
        <v>1</v>
      </c>
      <c r="B9" s="368" t="s">
        <v>3</v>
      </c>
      <c r="C9" s="369">
        <f>E9+F9+G9</f>
        <v>4.384799999999999</v>
      </c>
      <c r="D9" s="370" t="s">
        <v>214</v>
      </c>
      <c r="E9" s="463">
        <v>4.06</v>
      </c>
      <c r="F9" s="464"/>
      <c r="G9" s="465">
        <f>E9*8%</f>
        <v>0.3248</v>
      </c>
      <c r="H9" s="466">
        <f>I9+J9+K9</f>
        <v>4.4254</v>
      </c>
      <c r="I9" s="467">
        <v>4.06</v>
      </c>
      <c r="J9" s="464"/>
      <c r="K9" s="468">
        <f>I9*9%</f>
        <v>0.36539999999999995</v>
      </c>
      <c r="L9" s="469">
        <f>K9-G9</f>
        <v>0.04059999999999997</v>
      </c>
      <c r="M9" s="470" t="s">
        <v>25</v>
      </c>
      <c r="N9" s="470" t="s">
        <v>310</v>
      </c>
      <c r="O9" s="471">
        <v>1210000</v>
      </c>
      <c r="P9" s="471">
        <f>L9*M9*N9*O9-1</f>
        <v>76635.55999999994</v>
      </c>
      <c r="Q9" s="471">
        <f>P9*10.5%</f>
        <v>8046.733799999994</v>
      </c>
      <c r="R9" s="471">
        <f>P9-Q9</f>
        <v>68588.82619999995</v>
      </c>
      <c r="S9" s="380"/>
      <c r="T9" s="381"/>
    </row>
    <row r="10" spans="1:20" s="314" customFormat="1" ht="17.25">
      <c r="A10" s="382">
        <v>2</v>
      </c>
      <c r="B10" s="383" t="s">
        <v>13</v>
      </c>
      <c r="C10" s="384">
        <f>E10+F10+G10</f>
        <v>3.86</v>
      </c>
      <c r="D10" s="385" t="s">
        <v>214</v>
      </c>
      <c r="E10" s="472">
        <v>3.86</v>
      </c>
      <c r="F10" s="451"/>
      <c r="G10" s="233"/>
      <c r="H10" s="449">
        <f>I10+J10+K10</f>
        <v>4.06</v>
      </c>
      <c r="I10" s="450">
        <v>4.06</v>
      </c>
      <c r="J10" s="451"/>
      <c r="K10" s="473"/>
      <c r="L10" s="452">
        <f>I10-E10</f>
        <v>0.19999999999999973</v>
      </c>
      <c r="M10" s="453" t="s">
        <v>25</v>
      </c>
      <c r="N10" s="453" t="s">
        <v>311</v>
      </c>
      <c r="O10" s="454">
        <v>1210000</v>
      </c>
      <c r="P10" s="454">
        <f>L10*M10*N10*O10</f>
        <v>275879.99999999965</v>
      </c>
      <c r="Q10" s="454">
        <f>P10*10.5%</f>
        <v>28967.39999999996</v>
      </c>
      <c r="R10" s="454">
        <f>P10-Q10</f>
        <v>246912.5999999997</v>
      </c>
      <c r="S10" s="394"/>
      <c r="T10" s="395"/>
    </row>
    <row r="11" spans="1:20" ht="13.5" customHeight="1">
      <c r="A11" s="474"/>
      <c r="B11" s="475" t="s">
        <v>312</v>
      </c>
      <c r="C11" s="476">
        <f>SUM(C9:C10)</f>
        <v>8.2448</v>
      </c>
      <c r="D11" s="399"/>
      <c r="E11" s="400">
        <f>E9+E10</f>
        <v>7.92</v>
      </c>
      <c r="F11" s="400"/>
      <c r="G11" s="400">
        <f>G9</f>
        <v>0.3248</v>
      </c>
      <c r="H11" s="477">
        <f>H9+H10</f>
        <v>8.485399999999998</v>
      </c>
      <c r="I11" s="400">
        <f>I9+I10</f>
        <v>8.12</v>
      </c>
      <c r="J11" s="400"/>
      <c r="K11" s="399">
        <f>K9</f>
        <v>0.36539999999999995</v>
      </c>
      <c r="L11" s="478">
        <f>L9+L10</f>
        <v>0.2405999999999997</v>
      </c>
      <c r="M11" s="400"/>
      <c r="N11" s="400"/>
      <c r="O11" s="400"/>
      <c r="P11" s="402">
        <f>SUM(P9:P10)+1</f>
        <v>352516.5599999996</v>
      </c>
      <c r="Q11" s="402">
        <f>SUM(Q9:Q10)</f>
        <v>37014.13379999995</v>
      </c>
      <c r="R11" s="402">
        <f>SUM(R9:R10)+1</f>
        <v>315502.42619999964</v>
      </c>
      <c r="S11" s="403"/>
      <c r="T11" s="462"/>
    </row>
    <row r="12" spans="1:19" ht="29.25" customHeight="1">
      <c r="A12" s="405" t="s">
        <v>332</v>
      </c>
      <c r="B12" s="406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8"/>
      <c r="N12" s="408"/>
      <c r="O12" s="1"/>
      <c r="P12" s="527"/>
      <c r="Q12" s="527"/>
      <c r="R12" s="527"/>
      <c r="S12" s="409"/>
    </row>
    <row r="13" spans="13:19" ht="15.75">
      <c r="M13" s="410" t="s">
        <v>314</v>
      </c>
      <c r="N13" s="410"/>
      <c r="O13" s="410"/>
      <c r="P13" s="410"/>
      <c r="Q13" s="410"/>
      <c r="R13" s="410"/>
      <c r="S13" s="410"/>
    </row>
    <row r="14" spans="1:19" s="411" customFormat="1" ht="19.5">
      <c r="A14" s="541" t="s">
        <v>315</v>
      </c>
      <c r="B14" s="541"/>
      <c r="C14" s="541"/>
      <c r="D14" s="541"/>
      <c r="M14" s="318"/>
      <c r="N14" s="318"/>
      <c r="O14" s="318" t="s">
        <v>187</v>
      </c>
      <c r="P14" s="318"/>
      <c r="Q14" s="541"/>
      <c r="R14" s="541"/>
      <c r="S14" s="541"/>
    </row>
    <row r="15" spans="13:19" s="411" customFormat="1" ht="19.5">
      <c r="M15" s="412"/>
      <c r="N15" s="412"/>
      <c r="S15" s="412"/>
    </row>
    <row r="16" spans="13:19" s="411" customFormat="1" ht="19.5">
      <c r="M16" s="412"/>
      <c r="N16" s="412"/>
      <c r="S16" s="412"/>
    </row>
    <row r="17" s="411" customFormat="1" ht="19.5">
      <c r="S17" s="412"/>
    </row>
    <row r="18" s="411" customFormat="1" ht="19.5">
      <c r="S18" s="412"/>
    </row>
    <row r="19" s="411" customFormat="1" ht="19.5">
      <c r="S19" s="412"/>
    </row>
    <row r="20" spans="1:19" s="411" customFormat="1" ht="19.5">
      <c r="A20" s="541" t="s">
        <v>19</v>
      </c>
      <c r="B20" s="541"/>
      <c r="C20" s="541"/>
      <c r="D20" s="541"/>
      <c r="M20" s="318" t="s">
        <v>316</v>
      </c>
      <c r="N20" s="318"/>
      <c r="O20" s="318"/>
      <c r="P20" s="318"/>
      <c r="Q20" s="541"/>
      <c r="R20" s="541"/>
      <c r="S20" s="541"/>
    </row>
    <row r="21" spans="1:19" ht="15.75">
      <c r="A21" s="5"/>
      <c r="B21" s="5"/>
      <c r="M21" s="410"/>
      <c r="N21" s="410"/>
      <c r="O21" s="410"/>
      <c r="P21" s="410"/>
      <c r="Q21" s="5"/>
      <c r="R21" s="5"/>
      <c r="S21" s="5"/>
    </row>
    <row r="22" spans="1:19" ht="15.75">
      <c r="A22" s="5"/>
      <c r="B22" s="5"/>
      <c r="M22" s="410"/>
      <c r="N22" s="410"/>
      <c r="O22" s="410"/>
      <c r="P22" s="410"/>
      <c r="Q22" s="5"/>
      <c r="R22" s="5"/>
      <c r="S22" s="5"/>
    </row>
    <row r="23" spans="1:19" ht="15.75">
      <c r="A23" s="5"/>
      <c r="B23" s="5"/>
      <c r="M23" s="410"/>
      <c r="N23" s="410"/>
      <c r="O23" s="410"/>
      <c r="P23" s="410"/>
      <c r="Q23" s="5"/>
      <c r="R23" s="5"/>
      <c r="S23" s="5"/>
    </row>
    <row r="24" spans="1:19" ht="15.75">
      <c r="A24" s="5"/>
      <c r="B24" s="5"/>
      <c r="M24" s="410"/>
      <c r="N24" s="410"/>
      <c r="O24" s="410"/>
      <c r="P24" s="410"/>
      <c r="Q24" s="5"/>
      <c r="R24" s="5"/>
      <c r="S24" s="5"/>
    </row>
    <row r="25" spans="1:19" ht="15.75">
      <c r="A25" s="5"/>
      <c r="B25" s="5"/>
      <c r="M25" s="410"/>
      <c r="N25" s="410"/>
      <c r="O25" s="410"/>
      <c r="P25" s="410"/>
      <c r="Q25" s="5"/>
      <c r="R25" s="5"/>
      <c r="S25" s="5"/>
    </row>
    <row r="26" spans="1:19" ht="15.75">
      <c r="A26" s="5"/>
      <c r="B26" s="5"/>
      <c r="M26" s="410"/>
      <c r="N26" s="410"/>
      <c r="O26" s="410"/>
      <c r="P26" s="410"/>
      <c r="Q26" s="5"/>
      <c r="R26" s="5"/>
      <c r="S26" s="5"/>
    </row>
    <row r="27" spans="1:19" ht="15.75">
      <c r="A27" s="5"/>
      <c r="B27" s="5"/>
      <c r="M27" s="410"/>
      <c r="N27" s="410"/>
      <c r="O27" s="410"/>
      <c r="P27" s="410"/>
      <c r="Q27" s="5"/>
      <c r="R27" s="5"/>
      <c r="S27" s="5"/>
    </row>
    <row r="28" spans="1:19" ht="15.75">
      <c r="A28" s="5"/>
      <c r="B28" s="5"/>
      <c r="M28" s="410"/>
      <c r="N28" s="410"/>
      <c r="O28" s="410"/>
      <c r="P28" s="410"/>
      <c r="Q28" s="5"/>
      <c r="R28" s="5"/>
      <c r="S28" s="5"/>
    </row>
    <row r="29" spans="1:19" ht="15.75">
      <c r="A29" s="5"/>
      <c r="B29" s="5"/>
      <c r="M29" s="410"/>
      <c r="N29" s="410"/>
      <c r="O29" s="410"/>
      <c r="P29" s="410"/>
      <c r="Q29" s="5"/>
      <c r="R29" s="5"/>
      <c r="S29" s="5"/>
    </row>
    <row r="30" spans="1:19" ht="15.75">
      <c r="A30" s="5"/>
      <c r="B30" s="5"/>
      <c r="M30" s="410"/>
      <c r="N30" s="410"/>
      <c r="O30" s="410"/>
      <c r="P30" s="410"/>
      <c r="Q30" s="5"/>
      <c r="R30" s="5"/>
      <c r="S30" s="5"/>
    </row>
    <row r="31" spans="1:19" ht="15.75">
      <c r="A31" s="5"/>
      <c r="B31" s="5"/>
      <c r="M31" s="410"/>
      <c r="N31" s="410"/>
      <c r="O31" s="410"/>
      <c r="P31" s="410"/>
      <c r="Q31" s="5"/>
      <c r="R31" s="5"/>
      <c r="S31" s="5"/>
    </row>
    <row r="32" spans="1:19" ht="15.75">
      <c r="A32" s="5"/>
      <c r="B32" s="5"/>
      <c r="M32" s="410"/>
      <c r="N32" s="410"/>
      <c r="O32" s="410"/>
      <c r="P32" s="410"/>
      <c r="Q32" s="5"/>
      <c r="R32" s="5"/>
      <c r="S32" s="5"/>
    </row>
    <row r="33" spans="1:19" ht="15.75">
      <c r="A33" s="5"/>
      <c r="B33" s="5"/>
      <c r="M33" s="410"/>
      <c r="N33" s="410"/>
      <c r="O33" s="410"/>
      <c r="P33" s="410"/>
      <c r="Q33" s="5"/>
      <c r="R33" s="5"/>
      <c r="S33" s="5"/>
    </row>
    <row r="34" spans="1:19" ht="15.75">
      <c r="A34" s="5"/>
      <c r="B34" s="5"/>
      <c r="M34" s="410"/>
      <c r="N34" s="410"/>
      <c r="O34" s="410"/>
      <c r="P34" s="410"/>
      <c r="Q34" s="5"/>
      <c r="R34" s="5"/>
      <c r="S34" s="5"/>
    </row>
    <row r="35" spans="1:19" ht="15.75">
      <c r="A35" s="5"/>
      <c r="B35" s="5"/>
      <c r="M35" s="410"/>
      <c r="N35" s="410"/>
      <c r="O35" s="410"/>
      <c r="P35" s="410"/>
      <c r="Q35" s="5"/>
      <c r="R35" s="5"/>
      <c r="S35" s="5"/>
    </row>
    <row r="36" spans="1:19" ht="15.75">
      <c r="A36" s="5"/>
      <c r="B36" s="5"/>
      <c r="M36" s="410"/>
      <c r="N36" s="410"/>
      <c r="O36" s="410"/>
      <c r="P36" s="410"/>
      <c r="Q36" s="5"/>
      <c r="R36" s="5"/>
      <c r="S36" s="5"/>
    </row>
    <row r="37" spans="1:19" ht="15.75">
      <c r="A37" s="5"/>
      <c r="B37" s="5"/>
      <c r="M37" s="410"/>
      <c r="N37" s="410"/>
      <c r="O37" s="410"/>
      <c r="P37" s="410"/>
      <c r="Q37" s="5"/>
      <c r="R37" s="5"/>
      <c r="S37" s="5"/>
    </row>
    <row r="38" spans="1:19" ht="15.75">
      <c r="A38" s="5"/>
      <c r="B38" s="5"/>
      <c r="M38" s="410"/>
      <c r="N38" s="410"/>
      <c r="O38" s="410"/>
      <c r="P38" s="410"/>
      <c r="Q38" s="5"/>
      <c r="R38" s="5"/>
      <c r="S38" s="5"/>
    </row>
    <row r="39" spans="1:19" ht="15.75">
      <c r="A39" s="5"/>
      <c r="B39" s="5"/>
      <c r="M39" s="410"/>
      <c r="N39" s="410"/>
      <c r="O39" s="410"/>
      <c r="P39" s="410"/>
      <c r="Q39" s="5"/>
      <c r="R39" s="5"/>
      <c r="S39" s="5"/>
    </row>
    <row r="40" spans="1:19" ht="15.75">
      <c r="A40" s="5"/>
      <c r="B40" s="5"/>
      <c r="M40" s="410"/>
      <c r="N40" s="410"/>
      <c r="O40" s="410"/>
      <c r="P40" s="410"/>
      <c r="Q40" s="5"/>
      <c r="R40" s="5"/>
      <c r="S40" s="5"/>
    </row>
    <row r="41" spans="1:19" ht="15.75">
      <c r="A41" s="5"/>
      <c r="B41" s="5"/>
      <c r="M41" s="410"/>
      <c r="N41" s="410"/>
      <c r="O41" s="410"/>
      <c r="P41" s="410"/>
      <c r="Q41" s="5"/>
      <c r="R41" s="5"/>
      <c r="S41" s="5"/>
    </row>
    <row r="42" spans="1:19" ht="15.75">
      <c r="A42" s="5"/>
      <c r="B42" s="5"/>
      <c r="M42" s="410"/>
      <c r="N42" s="410"/>
      <c r="O42" s="410"/>
      <c r="P42" s="410"/>
      <c r="Q42" s="5"/>
      <c r="R42" s="5"/>
      <c r="S42" s="5"/>
    </row>
    <row r="43" spans="1:19" ht="15.75">
      <c r="A43" s="5"/>
      <c r="B43" s="5"/>
      <c r="M43" s="410"/>
      <c r="N43" s="410"/>
      <c r="O43" s="410"/>
      <c r="P43" s="410"/>
      <c r="Q43" s="5"/>
      <c r="R43" s="5"/>
      <c r="S43" s="5"/>
    </row>
    <row r="44" spans="1:19" ht="15.75">
      <c r="A44" s="5"/>
      <c r="B44" s="5"/>
      <c r="M44" s="410"/>
      <c r="N44" s="410"/>
      <c r="O44" s="410"/>
      <c r="P44" s="410"/>
      <c r="Q44" s="5"/>
      <c r="R44" s="5"/>
      <c r="S44" s="5"/>
    </row>
    <row r="45" spans="1:19" ht="15.75">
      <c r="A45" s="5"/>
      <c r="B45" s="5"/>
      <c r="M45" s="410"/>
      <c r="N45" s="410"/>
      <c r="O45" s="410"/>
      <c r="P45" s="410"/>
      <c r="Q45" s="5"/>
      <c r="R45" s="5"/>
      <c r="S45" s="5"/>
    </row>
    <row r="46" spans="1:19" ht="15.75">
      <c r="A46" s="5"/>
      <c r="B46" s="5"/>
      <c r="M46" s="410"/>
      <c r="N46" s="410"/>
      <c r="O46" s="410"/>
      <c r="P46" s="410"/>
      <c r="Q46" s="5"/>
      <c r="R46" s="5"/>
      <c r="S46" s="5"/>
    </row>
    <row r="47" spans="1:19" ht="15.75">
      <c r="A47" s="5"/>
      <c r="B47" s="5"/>
      <c r="M47" s="410"/>
      <c r="N47" s="410"/>
      <c r="O47" s="410"/>
      <c r="P47" s="410"/>
      <c r="Q47" s="5"/>
      <c r="R47" s="5"/>
      <c r="S47" s="5"/>
    </row>
    <row r="48" spans="1:19" ht="15.75">
      <c r="A48" s="5"/>
      <c r="B48" s="5"/>
      <c r="M48" s="410"/>
      <c r="N48" s="410"/>
      <c r="O48" s="410"/>
      <c r="P48" s="410"/>
      <c r="Q48" s="5"/>
      <c r="R48" s="5"/>
      <c r="S48" s="5"/>
    </row>
    <row r="49" spans="1:19" ht="16.5">
      <c r="A49" s="546" t="s">
        <v>240</v>
      </c>
      <c r="B49" s="546"/>
      <c r="C49" s="361"/>
      <c r="D49" s="361"/>
      <c r="E49" s="361"/>
      <c r="F49" s="361"/>
      <c r="G49" s="361"/>
      <c r="H49" s="547" t="s">
        <v>317</v>
      </c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</row>
    <row r="50" spans="1:19" ht="16.5">
      <c r="A50" s="541" t="s">
        <v>264</v>
      </c>
      <c r="B50" s="541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"/>
      <c r="S50" s="362"/>
    </row>
    <row r="51" spans="1:19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</row>
    <row r="52" spans="1:20" ht="16.5" customHeight="1">
      <c r="A52" s="542" t="s">
        <v>292</v>
      </c>
      <c r="B52" s="542" t="s">
        <v>293</v>
      </c>
      <c r="C52" s="543" t="s">
        <v>294</v>
      </c>
      <c r="D52" s="544"/>
      <c r="E52" s="544"/>
      <c r="F52" s="544"/>
      <c r="G52" s="545"/>
      <c r="H52" s="542" t="s">
        <v>295</v>
      </c>
      <c r="I52" s="542"/>
      <c r="J52" s="542"/>
      <c r="K52" s="542"/>
      <c r="L52" s="534" t="s">
        <v>296</v>
      </c>
      <c r="M52" s="528"/>
      <c r="N52" s="528"/>
      <c r="O52" s="528"/>
      <c r="P52" s="528"/>
      <c r="Q52" s="414" t="s">
        <v>318</v>
      </c>
      <c r="R52" s="529" t="s">
        <v>302</v>
      </c>
      <c r="S52" s="530" t="s">
        <v>257</v>
      </c>
      <c r="T52" s="533" t="s">
        <v>79</v>
      </c>
    </row>
    <row r="53" spans="1:20" ht="16.5" customHeight="1">
      <c r="A53" s="542"/>
      <c r="B53" s="542"/>
      <c r="C53" s="534" t="s">
        <v>303</v>
      </c>
      <c r="D53" s="537" t="s">
        <v>304</v>
      </c>
      <c r="E53" s="537"/>
      <c r="F53" s="537"/>
      <c r="G53" s="537"/>
      <c r="H53" s="534" t="s">
        <v>305</v>
      </c>
      <c r="I53" s="537"/>
      <c r="J53" s="537"/>
      <c r="K53" s="537"/>
      <c r="L53" s="535"/>
      <c r="M53" s="415"/>
      <c r="N53" s="415"/>
      <c r="O53" s="542"/>
      <c r="P53" s="542"/>
      <c r="Q53" s="538" t="s">
        <v>319</v>
      </c>
      <c r="R53" s="529"/>
      <c r="S53" s="531"/>
      <c r="T53" s="533"/>
    </row>
    <row r="54" spans="1:20" ht="16.5" customHeight="1">
      <c r="A54" s="542"/>
      <c r="B54" s="542"/>
      <c r="C54" s="535"/>
      <c r="D54" s="539" t="s">
        <v>283</v>
      </c>
      <c r="E54" s="539" t="s">
        <v>306</v>
      </c>
      <c r="F54" s="539" t="s">
        <v>320</v>
      </c>
      <c r="G54" s="539" t="s">
        <v>321</v>
      </c>
      <c r="H54" s="535"/>
      <c r="I54" s="539" t="s">
        <v>306</v>
      </c>
      <c r="J54" s="526" t="s">
        <v>320</v>
      </c>
      <c r="K54" s="526" t="s">
        <v>321</v>
      </c>
      <c r="L54" s="535"/>
      <c r="M54" s="526" t="s">
        <v>328</v>
      </c>
      <c r="N54" s="364"/>
      <c r="O54" s="549" t="s">
        <v>329</v>
      </c>
      <c r="P54" s="549" t="s">
        <v>333</v>
      </c>
      <c r="Q54" s="538"/>
      <c r="R54" s="529"/>
      <c r="S54" s="531"/>
      <c r="T54" s="533"/>
    </row>
    <row r="55" spans="1:20" ht="62.25" customHeight="1">
      <c r="A55" s="542"/>
      <c r="B55" s="542"/>
      <c r="C55" s="536"/>
      <c r="D55" s="540"/>
      <c r="E55" s="540"/>
      <c r="F55" s="540"/>
      <c r="G55" s="540"/>
      <c r="H55" s="536"/>
      <c r="I55" s="540"/>
      <c r="J55" s="526"/>
      <c r="K55" s="526"/>
      <c r="L55" s="536"/>
      <c r="M55" s="526"/>
      <c r="N55" s="364"/>
      <c r="O55" s="549"/>
      <c r="P55" s="549"/>
      <c r="Q55" s="538"/>
      <c r="R55" s="529"/>
      <c r="S55" s="532"/>
      <c r="T55" s="533"/>
    </row>
    <row r="56" spans="1:21" ht="38.25">
      <c r="A56" s="416">
        <v>1</v>
      </c>
      <c r="B56" s="417" t="s">
        <v>322</v>
      </c>
      <c r="C56" s="418">
        <f>E56+F56+G56</f>
        <v>4.2768</v>
      </c>
      <c r="D56" s="231" t="s">
        <v>323</v>
      </c>
      <c r="E56" s="424">
        <v>3.96</v>
      </c>
      <c r="F56" s="425"/>
      <c r="G56" s="231">
        <f>E56*8%</f>
        <v>0.3168</v>
      </c>
      <c r="H56" s="418">
        <f>I56+J56+K56</f>
        <v>4.27</v>
      </c>
      <c r="I56" s="426">
        <v>4.27</v>
      </c>
      <c r="J56" s="425"/>
      <c r="K56" s="427"/>
      <c r="L56" s="428">
        <f>I56-E56</f>
        <v>0.3099999999999996</v>
      </c>
      <c r="M56" s="429" t="e">
        <f>DATEDIF(#REF!,#REF!,"m")+1</f>
        <v>#REF!</v>
      </c>
      <c r="N56" s="429"/>
      <c r="O56" s="430">
        <v>90000</v>
      </c>
      <c r="P56" s="430" t="e">
        <f>L56*O56*#REF!</f>
        <v>#REF!</v>
      </c>
      <c r="Q56" s="430" t="e">
        <f>P56*10.5%</f>
        <v>#REF!</v>
      </c>
      <c r="R56" s="430" t="e">
        <f>#REF!-#REF!</f>
        <v>#REF!</v>
      </c>
      <c r="S56" s="431"/>
      <c r="T56" s="432" t="s">
        <v>324</v>
      </c>
      <c r="U56" s="314"/>
    </row>
    <row r="57" spans="1:21" ht="63.75">
      <c r="A57" s="433">
        <v>2</v>
      </c>
      <c r="B57" s="434" t="s">
        <v>325</v>
      </c>
      <c r="C57" s="435">
        <f>E57+F57+G57</f>
        <v>3.5964</v>
      </c>
      <c r="D57" s="436" t="s">
        <v>326</v>
      </c>
      <c r="E57" s="437">
        <f>3.33</f>
        <v>3.33</v>
      </c>
      <c r="F57" s="438"/>
      <c r="G57" s="436">
        <f>E57*8%</f>
        <v>0.2664</v>
      </c>
      <c r="H57" s="435">
        <f>I57+J57+K57</f>
        <v>3.66</v>
      </c>
      <c r="I57" s="439">
        <v>3.66</v>
      </c>
      <c r="J57" s="438"/>
      <c r="K57" s="440"/>
      <c r="L57" s="441">
        <f>I57-E57</f>
        <v>0.33000000000000007</v>
      </c>
      <c r="M57" s="442" t="e">
        <f>DATEDIF(#REF!,#REF!,"m")+1</f>
        <v>#REF!</v>
      </c>
      <c r="N57" s="442"/>
      <c r="O57" s="443">
        <v>90000</v>
      </c>
      <c r="P57" s="443" t="e">
        <f>L57*O57*#REF!</f>
        <v>#REF!</v>
      </c>
      <c r="Q57" s="443" t="e">
        <f>P57*10.5%</f>
        <v>#REF!</v>
      </c>
      <c r="R57" s="443" t="e">
        <f>#REF!-#REF!</f>
        <v>#REF!</v>
      </c>
      <c r="S57" s="444"/>
      <c r="T57" s="445" t="s">
        <v>273</v>
      </c>
      <c r="U57" s="314"/>
    </row>
    <row r="58" spans="1:21" ht="63.75">
      <c r="A58" s="433">
        <v>3</v>
      </c>
      <c r="B58" s="446" t="s">
        <v>271</v>
      </c>
      <c r="C58" s="435"/>
      <c r="D58" s="436" t="s">
        <v>214</v>
      </c>
      <c r="E58" s="439">
        <v>4.06</v>
      </c>
      <c r="F58" s="438"/>
      <c r="G58" s="447">
        <f>E58*9%</f>
        <v>0.36539999999999995</v>
      </c>
      <c r="H58" s="439">
        <v>4.06</v>
      </c>
      <c r="I58" s="438"/>
      <c r="J58" s="447"/>
      <c r="K58" s="447">
        <f>H58*10%</f>
        <v>0.40599999999999997</v>
      </c>
      <c r="L58" s="441">
        <f>K58-G58</f>
        <v>0.040600000000000025</v>
      </c>
      <c r="M58" s="442" t="e">
        <f>DATEDIF(#REF!,#REF!,"m")+1</f>
        <v>#REF!</v>
      </c>
      <c r="N58" s="442"/>
      <c r="O58" s="443">
        <v>90000</v>
      </c>
      <c r="P58" s="443" t="e">
        <f>L58*O58*#REF!</f>
        <v>#REF!</v>
      </c>
      <c r="Q58" s="443" t="e">
        <f>P58*10.5%</f>
        <v>#REF!</v>
      </c>
      <c r="R58" s="443" t="e">
        <f>#REF!-#REF!</f>
        <v>#REF!</v>
      </c>
      <c r="S58" s="444"/>
      <c r="T58" s="445" t="s">
        <v>273</v>
      </c>
      <c r="U58" s="314"/>
    </row>
    <row r="59" spans="1:21" ht="31.5">
      <c r="A59" s="448">
        <v>4</v>
      </c>
      <c r="B59" s="282" t="s">
        <v>274</v>
      </c>
      <c r="C59" s="449">
        <f>E59+F59+G59</f>
        <v>4.4254</v>
      </c>
      <c r="D59" s="233" t="s">
        <v>214</v>
      </c>
      <c r="E59" s="450">
        <v>4.06</v>
      </c>
      <c r="F59" s="451"/>
      <c r="G59" s="283">
        <f>E59*9%</f>
        <v>0.36539999999999995</v>
      </c>
      <c r="H59" s="450">
        <v>4.06</v>
      </c>
      <c r="I59" s="451"/>
      <c r="J59" s="283"/>
      <c r="K59" s="283">
        <f>H59*10%</f>
        <v>0.40599999999999997</v>
      </c>
      <c r="L59" s="452">
        <f>K59-G59</f>
        <v>0.040600000000000025</v>
      </c>
      <c r="M59" s="453" t="e">
        <f>DATEDIF(#REF!,#REF!,"m")+1</f>
        <v>#REF!</v>
      </c>
      <c r="N59" s="453"/>
      <c r="O59" s="454">
        <v>90000</v>
      </c>
      <c r="P59" s="454" t="e">
        <f>L59*O59*#REF!</f>
        <v>#REF!</v>
      </c>
      <c r="Q59" s="454" t="e">
        <f>P59*10.5%</f>
        <v>#REF!</v>
      </c>
      <c r="R59" s="454" t="e">
        <f>#REF!-#REF!</f>
        <v>#REF!</v>
      </c>
      <c r="S59" s="394"/>
      <c r="T59" s="395" t="s">
        <v>275</v>
      </c>
      <c r="U59" s="314"/>
    </row>
    <row r="60" spans="1:20" ht="15.75">
      <c r="A60" s="455"/>
      <c r="B60" s="456" t="s">
        <v>312</v>
      </c>
      <c r="C60" s="457"/>
      <c r="D60" s="458"/>
      <c r="E60" s="459"/>
      <c r="F60" s="460"/>
      <c r="G60" s="460"/>
      <c r="H60" s="457"/>
      <c r="I60" s="459"/>
      <c r="J60" s="460"/>
      <c r="K60" s="458"/>
      <c r="L60" s="461"/>
      <c r="M60" s="460"/>
      <c r="N60" s="460"/>
      <c r="O60" s="460"/>
      <c r="P60" s="402" t="e">
        <f>SUM(P56:P59)</f>
        <v>#REF!</v>
      </c>
      <c r="Q60" s="402" t="e">
        <f>SUM(Q56:Q59)</f>
        <v>#REF!</v>
      </c>
      <c r="R60" s="402" t="e">
        <f>SUM(R56:R59)</f>
        <v>#REF!</v>
      </c>
      <c r="S60" s="403"/>
      <c r="T60" s="462"/>
    </row>
    <row r="61" spans="1:19" ht="18.75">
      <c r="A61" s="406" t="s">
        <v>327</v>
      </c>
      <c r="B61" s="406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8"/>
      <c r="N61" s="408"/>
      <c r="O61" s="1"/>
      <c r="P61" s="527"/>
      <c r="Q61" s="527"/>
      <c r="R61" s="527"/>
      <c r="S61" s="409"/>
    </row>
    <row r="62" spans="13:19" ht="15.75">
      <c r="M62" s="410"/>
      <c r="N62" s="410"/>
      <c r="O62" s="410"/>
      <c r="P62" s="410"/>
      <c r="Q62" s="481"/>
      <c r="R62" s="481"/>
      <c r="S62" s="481"/>
    </row>
    <row r="63" spans="1:19" ht="15.75">
      <c r="A63" s="481" t="s">
        <v>315</v>
      </c>
      <c r="B63" s="481"/>
      <c r="M63" s="410"/>
      <c r="N63" s="410"/>
      <c r="O63" s="410"/>
      <c r="P63" s="410"/>
      <c r="Q63" s="481"/>
      <c r="R63" s="481"/>
      <c r="S63" s="481"/>
    </row>
    <row r="64" spans="13:14" ht="15.75">
      <c r="M64" s="221"/>
      <c r="N64" s="221"/>
    </row>
    <row r="65" spans="13:14" ht="15.75">
      <c r="M65" s="221"/>
      <c r="N65" s="221"/>
    </row>
    <row r="69" spans="1:19" ht="15.75">
      <c r="A69" s="481" t="s">
        <v>278</v>
      </c>
      <c r="B69" s="481"/>
      <c r="M69" s="410"/>
      <c r="N69" s="410"/>
      <c r="O69" s="410"/>
      <c r="P69" s="410"/>
      <c r="Q69" s="481"/>
      <c r="R69" s="481"/>
      <c r="S69" s="481"/>
    </row>
    <row r="70" spans="1:19" ht="15.75">
      <c r="A70" s="5"/>
      <c r="B70" s="5"/>
      <c r="M70" s="410"/>
      <c r="N70" s="410"/>
      <c r="O70" s="410"/>
      <c r="P70" s="410"/>
      <c r="Q70" s="5"/>
      <c r="R70" s="5"/>
      <c r="S70" s="5"/>
    </row>
    <row r="71" spans="1:19" ht="15.75">
      <c r="A71" s="5"/>
      <c r="B71" s="5"/>
      <c r="M71" s="410"/>
      <c r="N71" s="410"/>
      <c r="O71" s="410"/>
      <c r="P71" s="410"/>
      <c r="Q71" s="5"/>
      <c r="R71" s="5"/>
      <c r="S71" s="5"/>
    </row>
  </sheetData>
  <sheetProtection/>
  <mergeCells count="65">
    <mergeCell ref="H1:S1"/>
    <mergeCell ref="A3:B3"/>
    <mergeCell ref="A5:A8"/>
    <mergeCell ref="B5:B8"/>
    <mergeCell ref="C5:G5"/>
    <mergeCell ref="H5:K5"/>
    <mergeCell ref="L5:L8"/>
    <mergeCell ref="M5:M8"/>
    <mergeCell ref="N5:N8"/>
    <mergeCell ref="O5:O8"/>
    <mergeCell ref="R5:R8"/>
    <mergeCell ref="S5:S8"/>
    <mergeCell ref="T5:T8"/>
    <mergeCell ref="C6:C8"/>
    <mergeCell ref="D6:G6"/>
    <mergeCell ref="H6:H8"/>
    <mergeCell ref="I6:K6"/>
    <mergeCell ref="D7:D8"/>
    <mergeCell ref="A49:B49"/>
    <mergeCell ref="H49:S49"/>
    <mergeCell ref="E7:E8"/>
    <mergeCell ref="F7:F8"/>
    <mergeCell ref="G7:G8"/>
    <mergeCell ref="I7:I8"/>
    <mergeCell ref="J7:J8"/>
    <mergeCell ref="K7:K8"/>
    <mergeCell ref="P5:P8"/>
    <mergeCell ref="Q5:Q8"/>
    <mergeCell ref="P12:R12"/>
    <mergeCell ref="A14:D14"/>
    <mergeCell ref="Q14:S14"/>
    <mergeCell ref="A20:D20"/>
    <mergeCell ref="Q20:S20"/>
    <mergeCell ref="H52:K52"/>
    <mergeCell ref="L52:L55"/>
    <mergeCell ref="D54:D55"/>
    <mergeCell ref="E54:E55"/>
    <mergeCell ref="F54:F55"/>
    <mergeCell ref="G54:G55"/>
    <mergeCell ref="A50:B50"/>
    <mergeCell ref="A52:A55"/>
    <mergeCell ref="B52:B55"/>
    <mergeCell ref="C52:G52"/>
    <mergeCell ref="H53:H55"/>
    <mergeCell ref="I53:K53"/>
    <mergeCell ref="O53:P53"/>
    <mergeCell ref="Q53:Q55"/>
    <mergeCell ref="M52:P52"/>
    <mergeCell ref="R52:R55"/>
    <mergeCell ref="S52:S55"/>
    <mergeCell ref="T52:T55"/>
    <mergeCell ref="A69:B69"/>
    <mergeCell ref="Q69:S69"/>
    <mergeCell ref="I54:I55"/>
    <mergeCell ref="J54:J55"/>
    <mergeCell ref="K54:K55"/>
    <mergeCell ref="M54:M55"/>
    <mergeCell ref="O54:O55"/>
    <mergeCell ref="P54:P55"/>
    <mergeCell ref="C53:C55"/>
    <mergeCell ref="D53:G53"/>
    <mergeCell ref="P61:R61"/>
    <mergeCell ref="Q62:S62"/>
    <mergeCell ref="A63:B63"/>
    <mergeCell ref="Q63:S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Sky123.Org</cp:lastModifiedBy>
  <cp:lastPrinted>2018-09-06T01:19:56Z</cp:lastPrinted>
  <dcterms:created xsi:type="dcterms:W3CDTF">2016-04-05T01:28:04Z</dcterms:created>
  <dcterms:modified xsi:type="dcterms:W3CDTF">2019-04-22T03:23:39Z</dcterms:modified>
  <cp:category/>
  <cp:version/>
  <cp:contentType/>
  <cp:contentStatus/>
</cp:coreProperties>
</file>